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H:\My Drive\DATA\DoM - CashReserveLevyLimit\"/>
    </mc:Choice>
  </mc:AlternateContent>
  <xr:revisionPtr revIDLastSave="0" documentId="13_ncr:1_{0F233868-0C7D-46B5-AB9A-EE91AF53F7D8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CashReserveLevy" sheetId="1" r:id="rId1"/>
    <sheet name="Final" sheetId="6" state="hidden" r:id="rId2"/>
    <sheet name="ActualCRLevy_SAS" sheetId="4" state="hidden" r:id="rId3"/>
  </sheets>
  <definedNames>
    <definedName name="IDX" localSheetId="1">Final!$A$1</definedName>
    <definedName name="_xlnm.Print_Area" localSheetId="0">CashReserveLevy!$A$1:$N$367</definedName>
    <definedName name="_xlnm.Print_Titles" localSheetId="0">CashReserveLevy!$2:$2</definedName>
  </definedNames>
  <calcPr calcId="191029" iterateDelta="0"/>
</workbook>
</file>

<file path=xl/calcChain.xml><?xml version="1.0" encoding="utf-8"?>
<calcChain xmlns="http://schemas.openxmlformats.org/spreadsheetml/2006/main">
  <c r="C1" i="1" l="1"/>
  <c r="L363" i="1"/>
  <c r="L361" i="1" l="1"/>
  <c r="L362" i="1"/>
  <c r="C332" i="6" l="1"/>
  <c r="F332" i="6" l="1"/>
  <c r="E332" i="6" l="1"/>
  <c r="J333" i="1" s="1"/>
  <c r="D332" i="6"/>
  <c r="H333" i="1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J100" i="1" l="1"/>
  <c r="J22" i="1"/>
  <c r="H328" i="1"/>
  <c r="H304" i="1"/>
  <c r="H280" i="1"/>
  <c r="H256" i="1"/>
  <c r="H232" i="1"/>
  <c r="H208" i="1"/>
  <c r="H174" i="1"/>
  <c r="H30" i="1"/>
  <c r="J214" i="1"/>
  <c r="J106" i="1"/>
  <c r="H315" i="1"/>
  <c r="H291" i="1"/>
  <c r="H267" i="1"/>
  <c r="H243" i="1"/>
  <c r="H219" i="1"/>
  <c r="H195" i="1"/>
  <c r="H96" i="1"/>
  <c r="J172" i="1"/>
  <c r="J28" i="1"/>
  <c r="H326" i="1"/>
  <c r="H320" i="1"/>
  <c r="H314" i="1"/>
  <c r="H308" i="1"/>
  <c r="H302" i="1"/>
  <c r="H296" i="1"/>
  <c r="H290" i="1"/>
  <c r="H284" i="1"/>
  <c r="H278" i="1"/>
  <c r="H272" i="1"/>
  <c r="H266" i="1"/>
  <c r="H260" i="1"/>
  <c r="H254" i="1"/>
  <c r="H248" i="1"/>
  <c r="H242" i="1"/>
  <c r="H236" i="1"/>
  <c r="H230" i="1"/>
  <c r="H224" i="1"/>
  <c r="H218" i="1"/>
  <c r="H212" i="1"/>
  <c r="H206" i="1"/>
  <c r="H200" i="1"/>
  <c r="H194" i="1"/>
  <c r="H188" i="1"/>
  <c r="H162" i="1"/>
  <c r="H126" i="1"/>
  <c r="H90" i="1"/>
  <c r="H54" i="1"/>
  <c r="H18" i="1"/>
  <c r="J310" i="1"/>
  <c r="J274" i="1"/>
  <c r="J238" i="1"/>
  <c r="J202" i="1"/>
  <c r="J166" i="1"/>
  <c r="J130" i="1"/>
  <c r="J94" i="1"/>
  <c r="J58" i="1"/>
  <c r="H316" i="1"/>
  <c r="H292" i="1"/>
  <c r="H268" i="1"/>
  <c r="H244" i="1"/>
  <c r="H220" i="1"/>
  <c r="H196" i="1"/>
  <c r="H102" i="1"/>
  <c r="J286" i="1"/>
  <c r="J70" i="1"/>
  <c r="H309" i="1"/>
  <c r="H285" i="1"/>
  <c r="H261" i="1"/>
  <c r="H237" i="1"/>
  <c r="H207" i="1"/>
  <c r="H132" i="1"/>
  <c r="J316" i="1"/>
  <c r="J244" i="1"/>
  <c r="J136" i="1"/>
  <c r="J5" i="1"/>
  <c r="J11" i="1"/>
  <c r="J17" i="1"/>
  <c r="J23" i="1"/>
  <c r="J29" i="1"/>
  <c r="J35" i="1"/>
  <c r="J41" i="1"/>
  <c r="J47" i="1"/>
  <c r="J53" i="1"/>
  <c r="J59" i="1"/>
  <c r="J65" i="1"/>
  <c r="J71" i="1"/>
  <c r="J77" i="1"/>
  <c r="J83" i="1"/>
  <c r="J89" i="1"/>
  <c r="J95" i="1"/>
  <c r="J101" i="1"/>
  <c r="J107" i="1"/>
  <c r="J113" i="1"/>
  <c r="J119" i="1"/>
  <c r="J125" i="1"/>
  <c r="J131" i="1"/>
  <c r="J137" i="1"/>
  <c r="J143" i="1"/>
  <c r="J149" i="1"/>
  <c r="J155" i="1"/>
  <c r="J161" i="1"/>
  <c r="J167" i="1"/>
  <c r="J173" i="1"/>
  <c r="J179" i="1"/>
  <c r="J185" i="1"/>
  <c r="J191" i="1"/>
  <c r="J197" i="1"/>
  <c r="J203" i="1"/>
  <c r="J209" i="1"/>
  <c r="J215" i="1"/>
  <c r="J221" i="1"/>
  <c r="J227" i="1"/>
  <c r="J233" i="1"/>
  <c r="J239" i="1"/>
  <c r="J245" i="1"/>
  <c r="J251" i="1"/>
  <c r="J257" i="1"/>
  <c r="J263" i="1"/>
  <c r="J269" i="1"/>
  <c r="J275" i="1"/>
  <c r="J281" i="1"/>
  <c r="J287" i="1"/>
  <c r="J293" i="1"/>
  <c r="J299" i="1"/>
  <c r="J305" i="1"/>
  <c r="J311" i="1"/>
  <c r="J317" i="1"/>
  <c r="J323" i="1"/>
  <c r="J329" i="1"/>
  <c r="H7" i="1"/>
  <c r="H13" i="1"/>
  <c r="H19" i="1"/>
  <c r="H25" i="1"/>
  <c r="H31" i="1"/>
  <c r="H37" i="1"/>
  <c r="H43" i="1"/>
  <c r="H49" i="1"/>
  <c r="H55" i="1"/>
  <c r="H61" i="1"/>
  <c r="H67" i="1"/>
  <c r="H73" i="1"/>
  <c r="H79" i="1"/>
  <c r="H85" i="1"/>
  <c r="H91" i="1"/>
  <c r="H97" i="1"/>
  <c r="H103" i="1"/>
  <c r="H109" i="1"/>
  <c r="H115" i="1"/>
  <c r="H121" i="1"/>
  <c r="H127" i="1"/>
  <c r="H133" i="1"/>
  <c r="H139" i="1"/>
  <c r="H145" i="1"/>
  <c r="H151" i="1"/>
  <c r="H157" i="1"/>
  <c r="H163" i="1"/>
  <c r="H169" i="1"/>
  <c r="H175" i="1"/>
  <c r="H181" i="1"/>
  <c r="J6" i="1"/>
  <c r="J12" i="1"/>
  <c r="J18" i="1"/>
  <c r="J24" i="1"/>
  <c r="J30" i="1"/>
  <c r="J36" i="1"/>
  <c r="J42" i="1"/>
  <c r="J48" i="1"/>
  <c r="J54" i="1"/>
  <c r="J60" i="1"/>
  <c r="J66" i="1"/>
  <c r="J72" i="1"/>
  <c r="J78" i="1"/>
  <c r="J84" i="1"/>
  <c r="J90" i="1"/>
  <c r="J96" i="1"/>
  <c r="J102" i="1"/>
  <c r="J108" i="1"/>
  <c r="J114" i="1"/>
  <c r="J120" i="1"/>
  <c r="J126" i="1"/>
  <c r="J132" i="1"/>
  <c r="J138" i="1"/>
  <c r="J144" i="1"/>
  <c r="J150" i="1"/>
  <c r="J156" i="1"/>
  <c r="J162" i="1"/>
  <c r="J168" i="1"/>
  <c r="J174" i="1"/>
  <c r="J180" i="1"/>
  <c r="J186" i="1"/>
  <c r="J192" i="1"/>
  <c r="J198" i="1"/>
  <c r="J204" i="1"/>
  <c r="J210" i="1"/>
  <c r="J216" i="1"/>
  <c r="J222" i="1"/>
  <c r="J228" i="1"/>
  <c r="J234" i="1"/>
  <c r="J240" i="1"/>
  <c r="J246" i="1"/>
  <c r="J252" i="1"/>
  <c r="J258" i="1"/>
  <c r="J264" i="1"/>
  <c r="J270" i="1"/>
  <c r="J276" i="1"/>
  <c r="J282" i="1"/>
  <c r="J288" i="1"/>
  <c r="J294" i="1"/>
  <c r="J300" i="1"/>
  <c r="J306" i="1"/>
  <c r="J312" i="1"/>
  <c r="J318" i="1"/>
  <c r="J324" i="1"/>
  <c r="J3" i="1"/>
  <c r="H8" i="1"/>
  <c r="H14" i="1"/>
  <c r="H20" i="1"/>
  <c r="H26" i="1"/>
  <c r="H32" i="1"/>
  <c r="H38" i="1"/>
  <c r="H44" i="1"/>
  <c r="H50" i="1"/>
  <c r="H56" i="1"/>
  <c r="H62" i="1"/>
  <c r="H68" i="1"/>
  <c r="H74" i="1"/>
  <c r="H80" i="1"/>
  <c r="H86" i="1"/>
  <c r="H92" i="1"/>
  <c r="H98" i="1"/>
  <c r="H104" i="1"/>
  <c r="H110" i="1"/>
  <c r="H116" i="1"/>
  <c r="H122" i="1"/>
  <c r="H128" i="1"/>
  <c r="H134" i="1"/>
  <c r="H140" i="1"/>
  <c r="H146" i="1"/>
  <c r="H152" i="1"/>
  <c r="H158" i="1"/>
  <c r="H164" i="1"/>
  <c r="H170" i="1"/>
  <c r="H176" i="1"/>
  <c r="H182" i="1"/>
  <c r="J7" i="1"/>
  <c r="J13" i="1"/>
  <c r="J19" i="1"/>
  <c r="J25" i="1"/>
  <c r="J31" i="1"/>
  <c r="J37" i="1"/>
  <c r="J43" i="1"/>
  <c r="J49" i="1"/>
  <c r="J55" i="1"/>
  <c r="J61" i="1"/>
  <c r="J67" i="1"/>
  <c r="J73" i="1"/>
  <c r="J79" i="1"/>
  <c r="J85" i="1"/>
  <c r="J91" i="1"/>
  <c r="J97" i="1"/>
  <c r="J103" i="1"/>
  <c r="J109" i="1"/>
  <c r="J115" i="1"/>
  <c r="J121" i="1"/>
  <c r="J127" i="1"/>
  <c r="J133" i="1"/>
  <c r="J139" i="1"/>
  <c r="J145" i="1"/>
  <c r="J151" i="1"/>
  <c r="J157" i="1"/>
  <c r="J163" i="1"/>
  <c r="J169" i="1"/>
  <c r="J175" i="1"/>
  <c r="J181" i="1"/>
  <c r="J187" i="1"/>
  <c r="J193" i="1"/>
  <c r="J199" i="1"/>
  <c r="J205" i="1"/>
  <c r="J211" i="1"/>
  <c r="J217" i="1"/>
  <c r="J223" i="1"/>
  <c r="J229" i="1"/>
  <c r="J235" i="1"/>
  <c r="J241" i="1"/>
  <c r="J247" i="1"/>
  <c r="J253" i="1"/>
  <c r="J259" i="1"/>
  <c r="J265" i="1"/>
  <c r="J271" i="1"/>
  <c r="J277" i="1"/>
  <c r="J283" i="1"/>
  <c r="J289" i="1"/>
  <c r="J295" i="1"/>
  <c r="J301" i="1"/>
  <c r="J307" i="1"/>
  <c r="J313" i="1"/>
  <c r="J319" i="1"/>
  <c r="J325" i="1"/>
  <c r="H9" i="1"/>
  <c r="H15" i="1"/>
  <c r="H21" i="1"/>
  <c r="H27" i="1"/>
  <c r="H33" i="1"/>
  <c r="H39" i="1"/>
  <c r="H45" i="1"/>
  <c r="H51" i="1"/>
  <c r="H57" i="1"/>
  <c r="H63" i="1"/>
  <c r="H69" i="1"/>
  <c r="H75" i="1"/>
  <c r="H81" i="1"/>
  <c r="H87" i="1"/>
  <c r="H93" i="1"/>
  <c r="H99" i="1"/>
  <c r="H105" i="1"/>
  <c r="H111" i="1"/>
  <c r="H117" i="1"/>
  <c r="H123" i="1"/>
  <c r="H129" i="1"/>
  <c r="H135" i="1"/>
  <c r="H141" i="1"/>
  <c r="H147" i="1"/>
  <c r="H153" i="1"/>
  <c r="H159" i="1"/>
  <c r="H165" i="1"/>
  <c r="H171" i="1"/>
  <c r="H177" i="1"/>
  <c r="H183" i="1"/>
  <c r="J8" i="1"/>
  <c r="J14" i="1"/>
  <c r="J20" i="1"/>
  <c r="J26" i="1"/>
  <c r="J32" i="1"/>
  <c r="J38" i="1"/>
  <c r="J44" i="1"/>
  <c r="J50" i="1"/>
  <c r="J56" i="1"/>
  <c r="J62" i="1"/>
  <c r="J68" i="1"/>
  <c r="J74" i="1"/>
  <c r="J80" i="1"/>
  <c r="J86" i="1"/>
  <c r="J92" i="1"/>
  <c r="J98" i="1"/>
  <c r="J104" i="1"/>
  <c r="J110" i="1"/>
  <c r="J116" i="1"/>
  <c r="J122" i="1"/>
  <c r="J128" i="1"/>
  <c r="J134" i="1"/>
  <c r="J140" i="1"/>
  <c r="J146" i="1"/>
  <c r="J152" i="1"/>
  <c r="J158" i="1"/>
  <c r="J164" i="1"/>
  <c r="J170" i="1"/>
  <c r="J176" i="1"/>
  <c r="J182" i="1"/>
  <c r="J188" i="1"/>
  <c r="J194" i="1"/>
  <c r="J200" i="1"/>
  <c r="J206" i="1"/>
  <c r="J212" i="1"/>
  <c r="J218" i="1"/>
  <c r="J224" i="1"/>
  <c r="J230" i="1"/>
  <c r="J236" i="1"/>
  <c r="J242" i="1"/>
  <c r="J248" i="1"/>
  <c r="J254" i="1"/>
  <c r="J260" i="1"/>
  <c r="J266" i="1"/>
  <c r="J272" i="1"/>
  <c r="J278" i="1"/>
  <c r="J284" i="1"/>
  <c r="J290" i="1"/>
  <c r="J296" i="1"/>
  <c r="J302" i="1"/>
  <c r="J308" i="1"/>
  <c r="J314" i="1"/>
  <c r="J320" i="1"/>
  <c r="J326" i="1"/>
  <c r="H4" i="1"/>
  <c r="H10" i="1"/>
  <c r="H16" i="1"/>
  <c r="H22" i="1"/>
  <c r="H28" i="1"/>
  <c r="H34" i="1"/>
  <c r="H40" i="1"/>
  <c r="H46" i="1"/>
  <c r="H52" i="1"/>
  <c r="H58" i="1"/>
  <c r="H64" i="1"/>
  <c r="H70" i="1"/>
  <c r="H76" i="1"/>
  <c r="H82" i="1"/>
  <c r="H88" i="1"/>
  <c r="H94" i="1"/>
  <c r="H100" i="1"/>
  <c r="H106" i="1"/>
  <c r="H112" i="1"/>
  <c r="H118" i="1"/>
  <c r="H124" i="1"/>
  <c r="H130" i="1"/>
  <c r="H136" i="1"/>
  <c r="H142" i="1"/>
  <c r="H148" i="1"/>
  <c r="H154" i="1"/>
  <c r="H160" i="1"/>
  <c r="H166" i="1"/>
  <c r="H172" i="1"/>
  <c r="H178" i="1"/>
  <c r="H184" i="1"/>
  <c r="J9" i="1"/>
  <c r="J15" i="1"/>
  <c r="J21" i="1"/>
  <c r="J27" i="1"/>
  <c r="J33" i="1"/>
  <c r="J39" i="1"/>
  <c r="J45" i="1"/>
  <c r="J51" i="1"/>
  <c r="J57" i="1"/>
  <c r="J63" i="1"/>
  <c r="J69" i="1"/>
  <c r="J75" i="1"/>
  <c r="J81" i="1"/>
  <c r="J87" i="1"/>
  <c r="J93" i="1"/>
  <c r="J99" i="1"/>
  <c r="J105" i="1"/>
  <c r="J111" i="1"/>
  <c r="J117" i="1"/>
  <c r="J123" i="1"/>
  <c r="J129" i="1"/>
  <c r="J135" i="1"/>
  <c r="J141" i="1"/>
  <c r="J147" i="1"/>
  <c r="J153" i="1"/>
  <c r="J159" i="1"/>
  <c r="J165" i="1"/>
  <c r="J171" i="1"/>
  <c r="J177" i="1"/>
  <c r="J183" i="1"/>
  <c r="J189" i="1"/>
  <c r="J195" i="1"/>
  <c r="J201" i="1"/>
  <c r="J207" i="1"/>
  <c r="J213" i="1"/>
  <c r="J219" i="1"/>
  <c r="J225" i="1"/>
  <c r="J231" i="1"/>
  <c r="J237" i="1"/>
  <c r="J243" i="1"/>
  <c r="J249" i="1"/>
  <c r="J255" i="1"/>
  <c r="J261" i="1"/>
  <c r="J267" i="1"/>
  <c r="J273" i="1"/>
  <c r="J279" i="1"/>
  <c r="J285" i="1"/>
  <c r="J291" i="1"/>
  <c r="J297" i="1"/>
  <c r="J303" i="1"/>
  <c r="J309" i="1"/>
  <c r="J315" i="1"/>
  <c r="J321" i="1"/>
  <c r="J327" i="1"/>
  <c r="H5" i="1"/>
  <c r="H11" i="1"/>
  <c r="H17" i="1"/>
  <c r="H23" i="1"/>
  <c r="H29" i="1"/>
  <c r="H35" i="1"/>
  <c r="H41" i="1"/>
  <c r="H47" i="1"/>
  <c r="H53" i="1"/>
  <c r="H59" i="1"/>
  <c r="H65" i="1"/>
  <c r="H71" i="1"/>
  <c r="H77" i="1"/>
  <c r="H83" i="1"/>
  <c r="H89" i="1"/>
  <c r="H95" i="1"/>
  <c r="H101" i="1"/>
  <c r="H107" i="1"/>
  <c r="H113" i="1"/>
  <c r="H119" i="1"/>
  <c r="H125" i="1"/>
  <c r="H131" i="1"/>
  <c r="H137" i="1"/>
  <c r="H143" i="1"/>
  <c r="H149" i="1"/>
  <c r="H155" i="1"/>
  <c r="H161" i="1"/>
  <c r="H167" i="1"/>
  <c r="H173" i="1"/>
  <c r="H179" i="1"/>
  <c r="H185" i="1"/>
  <c r="H325" i="1"/>
  <c r="H319" i="1"/>
  <c r="H313" i="1"/>
  <c r="H307" i="1"/>
  <c r="H301" i="1"/>
  <c r="H295" i="1"/>
  <c r="H289" i="1"/>
  <c r="H283" i="1"/>
  <c r="H277" i="1"/>
  <c r="H271" i="1"/>
  <c r="H265" i="1"/>
  <c r="H259" i="1"/>
  <c r="H253" i="1"/>
  <c r="H247" i="1"/>
  <c r="H241" i="1"/>
  <c r="H235" i="1"/>
  <c r="H229" i="1"/>
  <c r="H223" i="1"/>
  <c r="H217" i="1"/>
  <c r="H211" i="1"/>
  <c r="H205" i="1"/>
  <c r="H199" i="1"/>
  <c r="H193" i="1"/>
  <c r="H187" i="1"/>
  <c r="H156" i="1"/>
  <c r="H120" i="1"/>
  <c r="H84" i="1"/>
  <c r="H48" i="1"/>
  <c r="H12" i="1"/>
  <c r="J304" i="1"/>
  <c r="J268" i="1"/>
  <c r="J232" i="1"/>
  <c r="J196" i="1"/>
  <c r="J160" i="1"/>
  <c r="J124" i="1"/>
  <c r="J88" i="1"/>
  <c r="J52" i="1"/>
  <c r="J16" i="1"/>
  <c r="H310" i="1"/>
  <c r="H286" i="1"/>
  <c r="H262" i="1"/>
  <c r="H238" i="1"/>
  <c r="H214" i="1"/>
  <c r="H190" i="1"/>
  <c r="H66" i="1"/>
  <c r="J250" i="1"/>
  <c r="J34" i="1"/>
  <c r="H321" i="1"/>
  <c r="H297" i="1"/>
  <c r="H273" i="1"/>
  <c r="H249" i="1"/>
  <c r="H231" i="1"/>
  <c r="H213" i="1"/>
  <c r="H189" i="1"/>
  <c r="H60" i="1"/>
  <c r="J280" i="1"/>
  <c r="J64" i="1"/>
  <c r="H3" i="1"/>
  <c r="H324" i="1"/>
  <c r="H318" i="1"/>
  <c r="H312" i="1"/>
  <c r="H306" i="1"/>
  <c r="H300" i="1"/>
  <c r="H294" i="1"/>
  <c r="H288" i="1"/>
  <c r="H282" i="1"/>
  <c r="H276" i="1"/>
  <c r="H270" i="1"/>
  <c r="H264" i="1"/>
  <c r="H258" i="1"/>
  <c r="H252" i="1"/>
  <c r="H246" i="1"/>
  <c r="H240" i="1"/>
  <c r="H234" i="1"/>
  <c r="H228" i="1"/>
  <c r="H222" i="1"/>
  <c r="H216" i="1"/>
  <c r="H210" i="1"/>
  <c r="H204" i="1"/>
  <c r="H198" i="1"/>
  <c r="H192" i="1"/>
  <c r="H186" i="1"/>
  <c r="H150" i="1"/>
  <c r="H114" i="1"/>
  <c r="H78" i="1"/>
  <c r="H42" i="1"/>
  <c r="H6" i="1"/>
  <c r="J298" i="1"/>
  <c r="J262" i="1"/>
  <c r="J226" i="1"/>
  <c r="J190" i="1"/>
  <c r="J154" i="1"/>
  <c r="J118" i="1"/>
  <c r="J82" i="1"/>
  <c r="J46" i="1"/>
  <c r="J10" i="1"/>
  <c r="H322" i="1"/>
  <c r="H298" i="1"/>
  <c r="H274" i="1"/>
  <c r="H250" i="1"/>
  <c r="H226" i="1"/>
  <c r="H202" i="1"/>
  <c r="H138" i="1"/>
  <c r="J322" i="1"/>
  <c r="J178" i="1"/>
  <c r="J142" i="1"/>
  <c r="H327" i="1"/>
  <c r="H303" i="1"/>
  <c r="H279" i="1"/>
  <c r="H255" i="1"/>
  <c r="H225" i="1"/>
  <c r="H201" i="1"/>
  <c r="H168" i="1"/>
  <c r="H24" i="1"/>
  <c r="J208" i="1"/>
  <c r="H329" i="1"/>
  <c r="H323" i="1"/>
  <c r="H317" i="1"/>
  <c r="H311" i="1"/>
  <c r="H305" i="1"/>
  <c r="H299" i="1"/>
  <c r="H293" i="1"/>
  <c r="H287" i="1"/>
  <c r="H281" i="1"/>
  <c r="H275" i="1"/>
  <c r="H269" i="1"/>
  <c r="H263" i="1"/>
  <c r="H257" i="1"/>
  <c r="H251" i="1"/>
  <c r="H245" i="1"/>
  <c r="H239" i="1"/>
  <c r="H233" i="1"/>
  <c r="H227" i="1"/>
  <c r="H221" i="1"/>
  <c r="H215" i="1"/>
  <c r="H209" i="1"/>
  <c r="H203" i="1"/>
  <c r="H197" i="1"/>
  <c r="H191" i="1"/>
  <c r="H180" i="1"/>
  <c r="H144" i="1"/>
  <c r="H108" i="1"/>
  <c r="H72" i="1"/>
  <c r="H36" i="1"/>
  <c r="J328" i="1"/>
  <c r="J292" i="1"/>
  <c r="J256" i="1"/>
  <c r="J220" i="1"/>
  <c r="J184" i="1"/>
  <c r="J148" i="1"/>
  <c r="J112" i="1"/>
  <c r="J76" i="1"/>
  <c r="J40" i="1"/>
  <c r="J4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43" i="1"/>
  <c r="I293" i="1" l="1"/>
  <c r="I329" i="1"/>
  <c r="K329" i="1" s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" i="1"/>
  <c r="N329" i="1" l="1"/>
  <c r="O329" i="1"/>
  <c r="L337" i="1"/>
  <c r="L330" i="1"/>
  <c r="I14" i="1" l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K293" i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" i="1"/>
  <c r="I4" i="1"/>
  <c r="I5" i="1"/>
  <c r="K5" i="1" s="1"/>
  <c r="I6" i="1"/>
  <c r="K6" i="1" s="1"/>
  <c r="I7" i="1"/>
  <c r="K7" i="1" s="1"/>
  <c r="I8" i="1"/>
  <c r="I9" i="1"/>
  <c r="K9" i="1" s="1"/>
  <c r="I10" i="1"/>
  <c r="K10" i="1" s="1"/>
  <c r="I11" i="1"/>
  <c r="K11" i="1" s="1"/>
  <c r="I12" i="1"/>
  <c r="I13" i="1"/>
  <c r="K13" i="1" s="1"/>
  <c r="N197" i="1" l="1"/>
  <c r="O197" i="1"/>
  <c r="N325" i="1"/>
  <c r="O325" i="1"/>
  <c r="N277" i="1"/>
  <c r="O277" i="1"/>
  <c r="N221" i="1"/>
  <c r="O221" i="1"/>
  <c r="O165" i="1"/>
  <c r="N165" i="1"/>
  <c r="N117" i="1"/>
  <c r="O117" i="1"/>
  <c r="N93" i="1"/>
  <c r="O93" i="1"/>
  <c r="N77" i="1"/>
  <c r="O77" i="1"/>
  <c r="N21" i="1"/>
  <c r="O21" i="1"/>
  <c r="N6" i="1"/>
  <c r="O6" i="1"/>
  <c r="N324" i="1"/>
  <c r="O324" i="1"/>
  <c r="N316" i="1"/>
  <c r="O316" i="1"/>
  <c r="N308" i="1"/>
  <c r="O308" i="1"/>
  <c r="N300" i="1"/>
  <c r="O300" i="1"/>
  <c r="N292" i="1"/>
  <c r="O292" i="1"/>
  <c r="N284" i="1"/>
  <c r="O284" i="1"/>
  <c r="O276" i="1"/>
  <c r="N276" i="1"/>
  <c r="N268" i="1"/>
  <c r="O268" i="1"/>
  <c r="N260" i="1"/>
  <c r="O260" i="1"/>
  <c r="N252" i="1"/>
  <c r="O252" i="1"/>
  <c r="N244" i="1"/>
  <c r="O244" i="1"/>
  <c r="N236" i="1"/>
  <c r="O236" i="1"/>
  <c r="N228" i="1"/>
  <c r="O228" i="1"/>
  <c r="N220" i="1"/>
  <c r="O220" i="1"/>
  <c r="O212" i="1"/>
  <c r="N212" i="1"/>
  <c r="N204" i="1"/>
  <c r="O204" i="1"/>
  <c r="O196" i="1"/>
  <c r="N196" i="1"/>
  <c r="N188" i="1"/>
  <c r="O188" i="1"/>
  <c r="O180" i="1"/>
  <c r="N180" i="1"/>
  <c r="N172" i="1"/>
  <c r="O172" i="1"/>
  <c r="O164" i="1"/>
  <c r="N164" i="1"/>
  <c r="N156" i="1"/>
  <c r="O156" i="1"/>
  <c r="N148" i="1"/>
  <c r="O148" i="1"/>
  <c r="N140" i="1"/>
  <c r="O140" i="1"/>
  <c r="N132" i="1"/>
  <c r="O132" i="1"/>
  <c r="N124" i="1"/>
  <c r="O124" i="1"/>
  <c r="O116" i="1"/>
  <c r="N116" i="1"/>
  <c r="O108" i="1"/>
  <c r="N108" i="1"/>
  <c r="N100" i="1"/>
  <c r="O100" i="1"/>
  <c r="N92" i="1"/>
  <c r="O92" i="1"/>
  <c r="N84" i="1"/>
  <c r="O84" i="1"/>
  <c r="N76" i="1"/>
  <c r="O76" i="1"/>
  <c r="N68" i="1"/>
  <c r="O68" i="1"/>
  <c r="N60" i="1"/>
  <c r="O60" i="1"/>
  <c r="N52" i="1"/>
  <c r="O52" i="1"/>
  <c r="O44" i="1"/>
  <c r="N44" i="1"/>
  <c r="O36" i="1"/>
  <c r="N36" i="1"/>
  <c r="N28" i="1"/>
  <c r="O28" i="1"/>
  <c r="N20" i="1"/>
  <c r="O20" i="1"/>
  <c r="O301" i="1"/>
  <c r="N301" i="1"/>
  <c r="N229" i="1"/>
  <c r="O229" i="1"/>
  <c r="O157" i="1"/>
  <c r="N157" i="1"/>
  <c r="N101" i="1"/>
  <c r="O101" i="1"/>
  <c r="N61" i="1"/>
  <c r="O61" i="1"/>
  <c r="N283" i="1"/>
  <c r="O283" i="1"/>
  <c r="O251" i="1"/>
  <c r="N251" i="1"/>
  <c r="O243" i="1"/>
  <c r="N243" i="1"/>
  <c r="N235" i="1"/>
  <c r="O235" i="1"/>
  <c r="N227" i="1"/>
  <c r="O227" i="1"/>
  <c r="N219" i="1"/>
  <c r="O219" i="1"/>
  <c r="N211" i="1"/>
  <c r="O211" i="1"/>
  <c r="N203" i="1"/>
  <c r="O203" i="1"/>
  <c r="N195" i="1"/>
  <c r="O195" i="1"/>
  <c r="N187" i="1"/>
  <c r="O187" i="1"/>
  <c r="O179" i="1"/>
  <c r="N179" i="1"/>
  <c r="N171" i="1"/>
  <c r="O171" i="1"/>
  <c r="O163" i="1"/>
  <c r="N163" i="1"/>
  <c r="O155" i="1"/>
  <c r="N155" i="1"/>
  <c r="O147" i="1"/>
  <c r="N147" i="1"/>
  <c r="O139" i="1"/>
  <c r="N139" i="1"/>
  <c r="N131" i="1"/>
  <c r="O131" i="1"/>
  <c r="N123" i="1"/>
  <c r="O123" i="1"/>
  <c r="N115" i="1"/>
  <c r="O115" i="1"/>
  <c r="O107" i="1"/>
  <c r="N107" i="1"/>
  <c r="O99" i="1"/>
  <c r="N99" i="1"/>
  <c r="N91" i="1"/>
  <c r="O91" i="1"/>
  <c r="N83" i="1"/>
  <c r="O83" i="1"/>
  <c r="N75" i="1"/>
  <c r="O75" i="1"/>
  <c r="N67" i="1"/>
  <c r="O67" i="1"/>
  <c r="N59" i="1"/>
  <c r="O59" i="1"/>
  <c r="N51" i="1"/>
  <c r="O51" i="1"/>
  <c r="N43" i="1"/>
  <c r="O43" i="1"/>
  <c r="O35" i="1"/>
  <c r="N35" i="1"/>
  <c r="N27" i="1"/>
  <c r="O27" i="1"/>
  <c r="N19" i="1"/>
  <c r="O19" i="1"/>
  <c r="N269" i="1"/>
  <c r="O269" i="1"/>
  <c r="N205" i="1"/>
  <c r="O205" i="1"/>
  <c r="N133" i="1"/>
  <c r="O133" i="1"/>
  <c r="N53" i="1"/>
  <c r="O53" i="1"/>
  <c r="O323" i="1"/>
  <c r="N323" i="1"/>
  <c r="O291" i="1"/>
  <c r="N291" i="1"/>
  <c r="N290" i="1"/>
  <c r="O290" i="1"/>
  <c r="O258" i="1"/>
  <c r="N258" i="1"/>
  <c r="N242" i="1"/>
  <c r="O242" i="1"/>
  <c r="O234" i="1"/>
  <c r="N234" i="1"/>
  <c r="N226" i="1"/>
  <c r="O226" i="1"/>
  <c r="N218" i="1"/>
  <c r="O218" i="1"/>
  <c r="N210" i="1"/>
  <c r="O210" i="1"/>
  <c r="O202" i="1"/>
  <c r="N202" i="1"/>
  <c r="N194" i="1"/>
  <c r="O194" i="1"/>
  <c r="N186" i="1"/>
  <c r="O186" i="1"/>
  <c r="O178" i="1"/>
  <c r="N178" i="1"/>
  <c r="O170" i="1"/>
  <c r="N170" i="1"/>
  <c r="N162" i="1"/>
  <c r="O162" i="1"/>
  <c r="N154" i="1"/>
  <c r="O154" i="1"/>
  <c r="N146" i="1"/>
  <c r="O146" i="1"/>
  <c r="O138" i="1"/>
  <c r="N138" i="1"/>
  <c r="N130" i="1"/>
  <c r="O130" i="1"/>
  <c r="N122" i="1"/>
  <c r="O122" i="1"/>
  <c r="O114" i="1"/>
  <c r="N114" i="1"/>
  <c r="O106" i="1"/>
  <c r="N106" i="1"/>
  <c r="N98" i="1"/>
  <c r="O98" i="1"/>
  <c r="O90" i="1"/>
  <c r="N90" i="1"/>
  <c r="N82" i="1"/>
  <c r="O82" i="1"/>
  <c r="O74" i="1"/>
  <c r="N74" i="1"/>
  <c r="O66" i="1"/>
  <c r="N66" i="1"/>
  <c r="N58" i="1"/>
  <c r="O58" i="1"/>
  <c r="N50" i="1"/>
  <c r="O50" i="1"/>
  <c r="O42" i="1"/>
  <c r="N42" i="1"/>
  <c r="N34" i="1"/>
  <c r="O34" i="1"/>
  <c r="N26" i="1"/>
  <c r="O26" i="1"/>
  <c r="O18" i="1"/>
  <c r="N18" i="1"/>
  <c r="O317" i="1"/>
  <c r="N317" i="1"/>
  <c r="O293" i="1"/>
  <c r="N293" i="1"/>
  <c r="N237" i="1"/>
  <c r="O237" i="1"/>
  <c r="N181" i="1"/>
  <c r="O181" i="1"/>
  <c r="N125" i="1"/>
  <c r="O125" i="1"/>
  <c r="N45" i="1"/>
  <c r="O45" i="1"/>
  <c r="N13" i="1"/>
  <c r="O13" i="1"/>
  <c r="O307" i="1"/>
  <c r="N307" i="1"/>
  <c r="N259" i="1"/>
  <c r="O259" i="1"/>
  <c r="N306" i="1"/>
  <c r="O306" i="1"/>
  <c r="O274" i="1"/>
  <c r="N274" i="1"/>
  <c r="O250" i="1"/>
  <c r="N250" i="1"/>
  <c r="N11" i="1"/>
  <c r="O11" i="1"/>
  <c r="N321" i="1"/>
  <c r="O321" i="1"/>
  <c r="O313" i="1"/>
  <c r="N313" i="1"/>
  <c r="N305" i="1"/>
  <c r="O305" i="1"/>
  <c r="O297" i="1"/>
  <c r="N297" i="1"/>
  <c r="O289" i="1"/>
  <c r="N289" i="1"/>
  <c r="N281" i="1"/>
  <c r="O281" i="1"/>
  <c r="N273" i="1"/>
  <c r="O273" i="1"/>
  <c r="O265" i="1"/>
  <c r="N265" i="1"/>
  <c r="N257" i="1"/>
  <c r="O257" i="1"/>
  <c r="N249" i="1"/>
  <c r="O249" i="1"/>
  <c r="N241" i="1"/>
  <c r="O241" i="1"/>
  <c r="N233" i="1"/>
  <c r="O233" i="1"/>
  <c r="N225" i="1"/>
  <c r="O225" i="1"/>
  <c r="N217" i="1"/>
  <c r="O217" i="1"/>
  <c r="N209" i="1"/>
  <c r="O209" i="1"/>
  <c r="N201" i="1"/>
  <c r="O201" i="1"/>
  <c r="N193" i="1"/>
  <c r="O193" i="1"/>
  <c r="N185" i="1"/>
  <c r="O185" i="1"/>
  <c r="N177" i="1"/>
  <c r="O177" i="1"/>
  <c r="O169" i="1"/>
  <c r="N169" i="1"/>
  <c r="O161" i="1"/>
  <c r="N161" i="1"/>
  <c r="O153" i="1"/>
  <c r="N153" i="1"/>
  <c r="O145" i="1"/>
  <c r="N145" i="1"/>
  <c r="N137" i="1"/>
  <c r="O137" i="1"/>
  <c r="N129" i="1"/>
  <c r="O129" i="1"/>
  <c r="N121" i="1"/>
  <c r="O121" i="1"/>
  <c r="N113" i="1"/>
  <c r="O113" i="1"/>
  <c r="N105" i="1"/>
  <c r="O105" i="1"/>
  <c r="N97" i="1"/>
  <c r="O97" i="1"/>
  <c r="N89" i="1"/>
  <c r="O89" i="1"/>
  <c r="N81" i="1"/>
  <c r="O81" i="1"/>
  <c r="N73" i="1"/>
  <c r="O73" i="1"/>
  <c r="N65" i="1"/>
  <c r="O65" i="1"/>
  <c r="N57" i="1"/>
  <c r="O57" i="1"/>
  <c r="N49" i="1"/>
  <c r="O49" i="1"/>
  <c r="N41" i="1"/>
  <c r="O41" i="1"/>
  <c r="N33" i="1"/>
  <c r="O33" i="1"/>
  <c r="N25" i="1"/>
  <c r="O25" i="1"/>
  <c r="N17" i="1"/>
  <c r="O17" i="1"/>
  <c r="N309" i="1"/>
  <c r="O309" i="1"/>
  <c r="N253" i="1"/>
  <c r="O253" i="1"/>
  <c r="N213" i="1"/>
  <c r="O213" i="1"/>
  <c r="N173" i="1"/>
  <c r="O173" i="1"/>
  <c r="O149" i="1"/>
  <c r="N149" i="1"/>
  <c r="N109" i="1"/>
  <c r="O109" i="1"/>
  <c r="N85" i="1"/>
  <c r="O85" i="1"/>
  <c r="N69" i="1"/>
  <c r="O69" i="1"/>
  <c r="N29" i="1"/>
  <c r="O29" i="1"/>
  <c r="N299" i="1"/>
  <c r="O299" i="1"/>
  <c r="O267" i="1"/>
  <c r="N267" i="1"/>
  <c r="N314" i="1"/>
  <c r="O314" i="1"/>
  <c r="N282" i="1"/>
  <c r="O282" i="1"/>
  <c r="N328" i="1"/>
  <c r="O328" i="1"/>
  <c r="N312" i="1"/>
  <c r="O312" i="1"/>
  <c r="N304" i="1"/>
  <c r="O304" i="1"/>
  <c r="N296" i="1"/>
  <c r="O296" i="1"/>
  <c r="N288" i="1"/>
  <c r="O288" i="1"/>
  <c r="N280" i="1"/>
  <c r="O280" i="1"/>
  <c r="O272" i="1"/>
  <c r="N272" i="1"/>
  <c r="N264" i="1"/>
  <c r="O264" i="1"/>
  <c r="O256" i="1"/>
  <c r="N256" i="1"/>
  <c r="N248" i="1"/>
  <c r="O248" i="1"/>
  <c r="O240" i="1"/>
  <c r="N240" i="1"/>
  <c r="N232" i="1"/>
  <c r="O232" i="1"/>
  <c r="N224" i="1"/>
  <c r="O224" i="1"/>
  <c r="N216" i="1"/>
  <c r="O216" i="1"/>
  <c r="N208" i="1"/>
  <c r="O208" i="1"/>
  <c r="N200" i="1"/>
  <c r="O200" i="1"/>
  <c r="N192" i="1"/>
  <c r="O192" i="1"/>
  <c r="N184" i="1"/>
  <c r="O184" i="1"/>
  <c r="N176" i="1"/>
  <c r="O176" i="1"/>
  <c r="N168" i="1"/>
  <c r="O168" i="1"/>
  <c r="N160" i="1"/>
  <c r="O160" i="1"/>
  <c r="N152" i="1"/>
  <c r="O152" i="1"/>
  <c r="N144" i="1"/>
  <c r="O144" i="1"/>
  <c r="N136" i="1"/>
  <c r="O136" i="1"/>
  <c r="N128" i="1"/>
  <c r="O128" i="1"/>
  <c r="N120" i="1"/>
  <c r="O120" i="1"/>
  <c r="N112" i="1"/>
  <c r="O112" i="1"/>
  <c r="N104" i="1"/>
  <c r="O104" i="1"/>
  <c r="N96" i="1"/>
  <c r="O96" i="1"/>
  <c r="N88" i="1"/>
  <c r="O88" i="1"/>
  <c r="N80" i="1"/>
  <c r="O80" i="1"/>
  <c r="N72" i="1"/>
  <c r="O72" i="1"/>
  <c r="N64" i="1"/>
  <c r="O64" i="1"/>
  <c r="N56" i="1"/>
  <c r="O56" i="1"/>
  <c r="N48" i="1"/>
  <c r="O48" i="1"/>
  <c r="N40" i="1"/>
  <c r="O40" i="1"/>
  <c r="N32" i="1"/>
  <c r="O32" i="1"/>
  <c r="N24" i="1"/>
  <c r="O24" i="1"/>
  <c r="N16" i="1"/>
  <c r="O16" i="1"/>
  <c r="N7" i="1"/>
  <c r="O7" i="1"/>
  <c r="O285" i="1"/>
  <c r="N285" i="1"/>
  <c r="N245" i="1"/>
  <c r="O245" i="1"/>
  <c r="N189" i="1"/>
  <c r="O189" i="1"/>
  <c r="N141" i="1"/>
  <c r="O141" i="1"/>
  <c r="N37" i="1"/>
  <c r="O37" i="1"/>
  <c r="N5" i="1"/>
  <c r="O5" i="1"/>
  <c r="N315" i="1"/>
  <c r="O315" i="1"/>
  <c r="N275" i="1"/>
  <c r="O275" i="1"/>
  <c r="N322" i="1"/>
  <c r="O322" i="1"/>
  <c r="O298" i="1"/>
  <c r="N298" i="1"/>
  <c r="O266" i="1"/>
  <c r="N266" i="1"/>
  <c r="O10" i="1"/>
  <c r="N10" i="1"/>
  <c r="N320" i="1"/>
  <c r="O320" i="1"/>
  <c r="N9" i="1"/>
  <c r="O9" i="1"/>
  <c r="O327" i="1"/>
  <c r="N327" i="1"/>
  <c r="O319" i="1"/>
  <c r="N319" i="1"/>
  <c r="O311" i="1"/>
  <c r="N311" i="1"/>
  <c r="N303" i="1"/>
  <c r="O303" i="1"/>
  <c r="N295" i="1"/>
  <c r="O295" i="1"/>
  <c r="N287" i="1"/>
  <c r="O287" i="1"/>
  <c r="O279" i="1"/>
  <c r="N279" i="1"/>
  <c r="N271" i="1"/>
  <c r="O271" i="1"/>
  <c r="O263" i="1"/>
  <c r="N263" i="1"/>
  <c r="N255" i="1"/>
  <c r="O255" i="1"/>
  <c r="O247" i="1"/>
  <c r="N247" i="1"/>
  <c r="N239" i="1"/>
  <c r="O239" i="1"/>
  <c r="N231" i="1"/>
  <c r="O231" i="1"/>
  <c r="N223" i="1"/>
  <c r="O223" i="1"/>
  <c r="N215" i="1"/>
  <c r="O215" i="1"/>
  <c r="N207" i="1"/>
  <c r="O207" i="1"/>
  <c r="N199" i="1"/>
  <c r="O199" i="1"/>
  <c r="N191" i="1"/>
  <c r="O191" i="1"/>
  <c r="N183" i="1"/>
  <c r="O183" i="1"/>
  <c r="N175" i="1"/>
  <c r="O175" i="1"/>
  <c r="O167" i="1"/>
  <c r="N167" i="1"/>
  <c r="O159" i="1"/>
  <c r="N159" i="1"/>
  <c r="O151" i="1"/>
  <c r="N151" i="1"/>
  <c r="N143" i="1"/>
  <c r="O143" i="1"/>
  <c r="N135" i="1"/>
  <c r="O135" i="1"/>
  <c r="N127" i="1"/>
  <c r="O127" i="1"/>
  <c r="N119" i="1"/>
  <c r="O119" i="1"/>
  <c r="N111" i="1"/>
  <c r="O111" i="1"/>
  <c r="N103" i="1"/>
  <c r="O103" i="1"/>
  <c r="N95" i="1"/>
  <c r="O95" i="1"/>
  <c r="N87" i="1"/>
  <c r="O87" i="1"/>
  <c r="N79" i="1"/>
  <c r="O79" i="1"/>
  <c r="N71" i="1"/>
  <c r="O71" i="1"/>
  <c r="N63" i="1"/>
  <c r="O63" i="1"/>
  <c r="N55" i="1"/>
  <c r="O55" i="1"/>
  <c r="N47" i="1"/>
  <c r="O47" i="1"/>
  <c r="N39" i="1"/>
  <c r="O39" i="1"/>
  <c r="N31" i="1"/>
  <c r="O31" i="1"/>
  <c r="N23" i="1"/>
  <c r="O23" i="1"/>
  <c r="N15" i="1"/>
  <c r="O15" i="1"/>
  <c r="N261" i="1"/>
  <c r="O261" i="1"/>
  <c r="N326" i="1"/>
  <c r="O326" i="1"/>
  <c r="N318" i="1"/>
  <c r="O318" i="1"/>
  <c r="N310" i="1"/>
  <c r="O310" i="1"/>
  <c r="N302" i="1"/>
  <c r="O302" i="1"/>
  <c r="N294" i="1"/>
  <c r="O294" i="1"/>
  <c r="N286" i="1"/>
  <c r="O286" i="1"/>
  <c r="N278" i="1"/>
  <c r="O278" i="1"/>
  <c r="N270" i="1"/>
  <c r="O270" i="1"/>
  <c r="N262" i="1"/>
  <c r="O262" i="1"/>
  <c r="N254" i="1"/>
  <c r="O254" i="1"/>
  <c r="N246" i="1"/>
  <c r="O246" i="1"/>
  <c r="N238" i="1"/>
  <c r="O238" i="1"/>
  <c r="N230" i="1"/>
  <c r="O230" i="1"/>
  <c r="N222" i="1"/>
  <c r="O222" i="1"/>
  <c r="N214" i="1"/>
  <c r="O214" i="1"/>
  <c r="N206" i="1"/>
  <c r="O206" i="1"/>
  <c r="N198" i="1"/>
  <c r="O198" i="1"/>
  <c r="N190" i="1"/>
  <c r="O190" i="1"/>
  <c r="N182" i="1"/>
  <c r="O182" i="1"/>
  <c r="N174" i="1"/>
  <c r="O174" i="1"/>
  <c r="N166" i="1"/>
  <c r="O166" i="1"/>
  <c r="O158" i="1"/>
  <c r="N158" i="1"/>
  <c r="N150" i="1"/>
  <c r="O150" i="1"/>
  <c r="N142" i="1"/>
  <c r="O142" i="1"/>
  <c r="N134" i="1"/>
  <c r="O134" i="1"/>
  <c r="N126" i="1"/>
  <c r="O126" i="1"/>
  <c r="N118" i="1"/>
  <c r="O118" i="1"/>
  <c r="N110" i="1"/>
  <c r="O110" i="1"/>
  <c r="N102" i="1"/>
  <c r="O102" i="1"/>
  <c r="N94" i="1"/>
  <c r="O94" i="1"/>
  <c r="N86" i="1"/>
  <c r="O86" i="1"/>
  <c r="N78" i="1"/>
  <c r="O78" i="1"/>
  <c r="N70" i="1"/>
  <c r="O70" i="1"/>
  <c r="N62" i="1"/>
  <c r="O62" i="1"/>
  <c r="N54" i="1"/>
  <c r="O54" i="1"/>
  <c r="N46" i="1"/>
  <c r="O46" i="1"/>
  <c r="N38" i="1"/>
  <c r="O38" i="1"/>
  <c r="N30" i="1"/>
  <c r="O30" i="1"/>
  <c r="N22" i="1"/>
  <c r="O22" i="1"/>
  <c r="N14" i="1"/>
  <c r="O14" i="1"/>
  <c r="M5" i="1"/>
  <c r="M319" i="1"/>
  <c r="M303" i="1"/>
  <c r="M287" i="1"/>
  <c r="M271" i="1"/>
  <c r="M259" i="1"/>
  <c r="M314" i="1"/>
  <c r="M11" i="1"/>
  <c r="M7" i="1"/>
  <c r="M329" i="1"/>
  <c r="M325" i="1"/>
  <c r="M321" i="1"/>
  <c r="M317" i="1"/>
  <c r="M313" i="1"/>
  <c r="M309" i="1"/>
  <c r="M305" i="1"/>
  <c r="M301" i="1"/>
  <c r="M297" i="1"/>
  <c r="M293" i="1"/>
  <c r="M289" i="1"/>
  <c r="M285" i="1"/>
  <c r="M281" i="1"/>
  <c r="M277" i="1"/>
  <c r="M273" i="1"/>
  <c r="M269" i="1"/>
  <c r="M265" i="1"/>
  <c r="M261" i="1"/>
  <c r="M257" i="1"/>
  <c r="M253" i="1"/>
  <c r="M249" i="1"/>
  <c r="M245" i="1"/>
  <c r="M241" i="1"/>
  <c r="M237" i="1"/>
  <c r="M233" i="1"/>
  <c r="M229" i="1"/>
  <c r="M225" i="1"/>
  <c r="M221" i="1"/>
  <c r="M217" i="1"/>
  <c r="M213" i="1"/>
  <c r="M209" i="1"/>
  <c r="M205" i="1"/>
  <c r="M201" i="1"/>
  <c r="M197" i="1"/>
  <c r="M193" i="1"/>
  <c r="M189" i="1"/>
  <c r="M185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315" i="1"/>
  <c r="M299" i="1"/>
  <c r="M275" i="1"/>
  <c r="M247" i="1"/>
  <c r="M326" i="1"/>
  <c r="M318" i="1"/>
  <c r="M10" i="1"/>
  <c r="M6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3" i="1"/>
  <c r="M327" i="1"/>
  <c r="M311" i="1"/>
  <c r="M291" i="1"/>
  <c r="M279" i="1"/>
  <c r="M263" i="1"/>
  <c r="M255" i="1"/>
  <c r="M243" i="1"/>
  <c r="M239" i="1"/>
  <c r="M235" i="1"/>
  <c r="M231" i="1"/>
  <c r="M227" i="1"/>
  <c r="M223" i="1"/>
  <c r="M219" i="1"/>
  <c r="M215" i="1"/>
  <c r="M211" i="1"/>
  <c r="M207" i="1"/>
  <c r="M203" i="1"/>
  <c r="M199" i="1"/>
  <c r="M195" i="1"/>
  <c r="M191" i="1"/>
  <c r="M187" i="1"/>
  <c r="M183" i="1"/>
  <c r="M179" i="1"/>
  <c r="M175" i="1"/>
  <c r="M171" i="1"/>
  <c r="M167" i="1"/>
  <c r="M163" i="1"/>
  <c r="M159" i="1"/>
  <c r="M155" i="1"/>
  <c r="M151" i="1"/>
  <c r="M147" i="1"/>
  <c r="M143" i="1"/>
  <c r="M139" i="1"/>
  <c r="M135" i="1"/>
  <c r="M131" i="1"/>
  <c r="M127" i="1"/>
  <c r="M123" i="1"/>
  <c r="M119" i="1"/>
  <c r="M115" i="1"/>
  <c r="M111" i="1"/>
  <c r="M107" i="1"/>
  <c r="M103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9" i="1"/>
  <c r="M323" i="1"/>
  <c r="M307" i="1"/>
  <c r="M295" i="1"/>
  <c r="M283" i="1"/>
  <c r="M267" i="1"/>
  <c r="M251" i="1"/>
  <c r="M322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10" i="1"/>
  <c r="M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K8" i="1"/>
  <c r="K12" i="1"/>
  <c r="K4" i="1"/>
  <c r="J330" i="1"/>
  <c r="J334" i="1" s="1"/>
  <c r="I330" i="1"/>
  <c r="K3" i="1"/>
  <c r="H330" i="1"/>
  <c r="H334" i="1" s="1"/>
  <c r="N3" i="1" l="1"/>
  <c r="O3" i="1"/>
  <c r="N4" i="1"/>
  <c r="O4" i="1"/>
  <c r="N12" i="1"/>
  <c r="O12" i="1"/>
  <c r="N8" i="1"/>
  <c r="O8" i="1"/>
  <c r="L336" i="1"/>
  <c r="M8" i="1"/>
  <c r="M12" i="1"/>
  <c r="M4" i="1"/>
  <c r="M3" i="1"/>
  <c r="K330" i="1"/>
  <c r="L338" i="1" l="1"/>
  <c r="L339" i="1"/>
</calcChain>
</file>

<file path=xl/sharedStrings.xml><?xml version="1.0" encoding="utf-8"?>
<sst xmlns="http://schemas.openxmlformats.org/spreadsheetml/2006/main" count="3304" uniqueCount="1032">
  <si>
    <t>11</t>
  </si>
  <si>
    <t>0018</t>
  </si>
  <si>
    <t>Adair-Casey</t>
  </si>
  <si>
    <t>0027</t>
  </si>
  <si>
    <t>Adel-Desoto-Minburn</t>
  </si>
  <si>
    <t>07</t>
  </si>
  <si>
    <t>0009</t>
  </si>
  <si>
    <t>AGWSR</t>
  </si>
  <si>
    <t>13</t>
  </si>
  <si>
    <t>0441</t>
  </si>
  <si>
    <t>AHSTW</t>
  </si>
  <si>
    <t>12</t>
  </si>
  <si>
    <t>0063</t>
  </si>
  <si>
    <t>Akron-Westfield</t>
  </si>
  <si>
    <t>05</t>
  </si>
  <si>
    <t>0072</t>
  </si>
  <si>
    <t>Albert City-Truesdale</t>
  </si>
  <si>
    <t>15</t>
  </si>
  <si>
    <t>0081</t>
  </si>
  <si>
    <t>Albia</t>
  </si>
  <si>
    <t>10</t>
  </si>
  <si>
    <t>0099</t>
  </si>
  <si>
    <t>Alburnett</t>
  </si>
  <si>
    <t>0108</t>
  </si>
  <si>
    <t>Alden</t>
  </si>
  <si>
    <t>0126</t>
  </si>
  <si>
    <t>Algona</t>
  </si>
  <si>
    <t>6417</t>
  </si>
  <si>
    <t>01</t>
  </si>
  <si>
    <t>0135</t>
  </si>
  <si>
    <t>Allamakee</t>
  </si>
  <si>
    <t>0171</t>
  </si>
  <si>
    <t>Alta-Aurelia</t>
  </si>
  <si>
    <t>0225</t>
  </si>
  <si>
    <t>Ames</t>
  </si>
  <si>
    <t>0234</t>
  </si>
  <si>
    <t>Anamosa</t>
  </si>
  <si>
    <t>09</t>
  </si>
  <si>
    <t>0243</t>
  </si>
  <si>
    <t>Andrew</t>
  </si>
  <si>
    <t>0261</t>
  </si>
  <si>
    <t>Ankeny</t>
  </si>
  <si>
    <t>0279</t>
  </si>
  <si>
    <t>Aplington-Parkersburg</t>
  </si>
  <si>
    <t>0355</t>
  </si>
  <si>
    <t>Ar-We-Va</t>
  </si>
  <si>
    <t>0387</t>
  </si>
  <si>
    <t>Atlantic</t>
  </si>
  <si>
    <t>0414</t>
  </si>
  <si>
    <t>Audubon</t>
  </si>
  <si>
    <t>0472</t>
  </si>
  <si>
    <t>Ballard</t>
  </si>
  <si>
    <t>0513</t>
  </si>
  <si>
    <t>Baxter</t>
  </si>
  <si>
    <t>0540</t>
  </si>
  <si>
    <t>BCLUW</t>
  </si>
  <si>
    <t>0549</t>
  </si>
  <si>
    <t>Bedford</t>
  </si>
  <si>
    <t>0576</t>
  </si>
  <si>
    <t>Belle Plaine</t>
  </si>
  <si>
    <t>0585</t>
  </si>
  <si>
    <t>Bellevue</t>
  </si>
  <si>
    <t>0594</t>
  </si>
  <si>
    <t>Belmond-Klemme</t>
  </si>
  <si>
    <t>0603</t>
  </si>
  <si>
    <t>Bennett</t>
  </si>
  <si>
    <t>0609</t>
  </si>
  <si>
    <t>Benton</t>
  </si>
  <si>
    <t>0621</t>
  </si>
  <si>
    <t>Bettendorf</t>
  </si>
  <si>
    <t>0720</t>
  </si>
  <si>
    <t>Bondurant-Farrar</t>
  </si>
  <si>
    <t>0729</t>
  </si>
  <si>
    <t>Boone</t>
  </si>
  <si>
    <t>0747</t>
  </si>
  <si>
    <t>Boyden-Hull</t>
  </si>
  <si>
    <t>1917</t>
  </si>
  <si>
    <t>Boyer Valley</t>
  </si>
  <si>
    <t>0846</t>
  </si>
  <si>
    <t>Brooklyn-Guernsey-Malcom</t>
  </si>
  <si>
    <t>0882</t>
  </si>
  <si>
    <t>Burlington</t>
  </si>
  <si>
    <t>0916</t>
  </si>
  <si>
    <t>CAL</t>
  </si>
  <si>
    <t>0918</t>
  </si>
  <si>
    <t>Calamus-Wheatland</t>
  </si>
  <si>
    <t>0914</t>
  </si>
  <si>
    <t>CAM</t>
  </si>
  <si>
    <t>0936</t>
  </si>
  <si>
    <t>Camanche</t>
  </si>
  <si>
    <t>0977</t>
  </si>
  <si>
    <t>Cardinal</t>
  </si>
  <si>
    <t>0981</t>
  </si>
  <si>
    <t>Carlisle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</si>
  <si>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</si>
  <si>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</si>
  <si>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</si>
  <si>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</si>
  <si>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</si>
  <si>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</si>
  <si>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</si>
  <si>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</si>
  <si>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1071</t>
  </si>
  <si>
    <t>Centerville</t>
  </si>
  <si>
    <t>1089</t>
  </si>
  <si>
    <t>Central City</t>
  </si>
  <si>
    <t>1080</t>
  </si>
  <si>
    <t>Central Clayton</t>
  </si>
  <si>
    <t>1082</t>
  </si>
  <si>
    <t>Central De Witt</t>
  </si>
  <si>
    <t>1093</t>
  </si>
  <si>
    <t>Central Decatur</t>
  </si>
  <si>
    <t>1079</t>
  </si>
  <si>
    <t>Central Lee</t>
  </si>
  <si>
    <t>1095</t>
  </si>
  <si>
    <t>Central Lyon</t>
  </si>
  <si>
    <t>4772</t>
  </si>
  <si>
    <t>Central Springs</t>
  </si>
  <si>
    <t>1107</t>
  </si>
  <si>
    <t>Chariton</t>
  </si>
  <si>
    <t>1116</t>
  </si>
  <si>
    <t>Charles City</t>
  </si>
  <si>
    <t>1134</t>
  </si>
  <si>
    <t>Charter Oak-Ute</t>
  </si>
  <si>
    <t>1152</t>
  </si>
  <si>
    <t>Cherokee</t>
  </si>
  <si>
    <t>1197</t>
  </si>
  <si>
    <t>Clarinda</t>
  </si>
  <si>
    <t>1206</t>
  </si>
  <si>
    <t>Clarion-Goldfield-Dows</t>
  </si>
  <si>
    <t>1854</t>
  </si>
  <si>
    <t>1211</t>
  </si>
  <si>
    <t>Clarke</t>
  </si>
  <si>
    <t>1215</t>
  </si>
  <si>
    <t>Clarksville</t>
  </si>
  <si>
    <t>1218</t>
  </si>
  <si>
    <t>Clay Central-Everly</t>
  </si>
  <si>
    <t>2763</t>
  </si>
  <si>
    <t>Clayton Ridge</t>
  </si>
  <si>
    <t>1221</t>
  </si>
  <si>
    <t>Clear Creek-Amana</t>
  </si>
  <si>
    <t>0216</t>
  </si>
  <si>
    <t>1233</t>
  </si>
  <si>
    <t>Clear Lake</t>
  </si>
  <si>
    <t>1278</t>
  </si>
  <si>
    <t>Clinton</t>
  </si>
  <si>
    <t>1332</t>
  </si>
  <si>
    <t>Colfax-Mingo</t>
  </si>
  <si>
    <t>1337</t>
  </si>
  <si>
    <t>College Community</t>
  </si>
  <si>
    <t>1350</t>
  </si>
  <si>
    <t>Collins-Maxwell</t>
  </si>
  <si>
    <t>1359</t>
  </si>
  <si>
    <t>Colo-Nesco</t>
  </si>
  <si>
    <t>1368</t>
  </si>
  <si>
    <t>Columbus</t>
  </si>
  <si>
    <t>1413</t>
  </si>
  <si>
    <t>Coon Rapids-Bayard</t>
  </si>
  <si>
    <t>1431</t>
  </si>
  <si>
    <t>Corning</t>
  </si>
  <si>
    <t>1476</t>
  </si>
  <si>
    <t>Council Bluffs</t>
  </si>
  <si>
    <t>1503</t>
  </si>
  <si>
    <t>Creston</t>
  </si>
  <si>
    <t>5328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</si>
  <si>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</si>
  <si>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</si>
  <si>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</si>
  <si>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</si>
  <si>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</si>
  <si>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</si>
  <si>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</si>
  <si>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</si>
  <si>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1638</t>
  </si>
  <si>
    <t>Decorah</t>
  </si>
  <si>
    <t>1675</t>
  </si>
  <si>
    <t>Delwood</t>
  </si>
  <si>
    <t>1701</t>
  </si>
  <si>
    <t>Denison</t>
  </si>
  <si>
    <t>1719</t>
  </si>
  <si>
    <t>Denver</t>
  </si>
  <si>
    <t>1737</t>
  </si>
  <si>
    <t>Des Moines</t>
  </si>
  <si>
    <t>1782</t>
  </si>
  <si>
    <t>Diagonal</t>
  </si>
  <si>
    <t>1791</t>
  </si>
  <si>
    <t>Dike-New Hartford</t>
  </si>
  <si>
    <t>1863</t>
  </si>
  <si>
    <t>Dubuque</t>
  </si>
  <si>
    <t>1908</t>
  </si>
  <si>
    <t>Dunkerton</t>
  </si>
  <si>
    <t>1926</t>
  </si>
  <si>
    <t>Durant</t>
  </si>
  <si>
    <t>1944</t>
  </si>
  <si>
    <t>Eagle Grove</t>
  </si>
  <si>
    <t>1953</t>
  </si>
  <si>
    <t>Earlham</t>
  </si>
  <si>
    <t>1963</t>
  </si>
  <si>
    <t>East Buchanan</t>
  </si>
  <si>
    <t>3582</t>
  </si>
  <si>
    <t>1968</t>
  </si>
  <si>
    <t>East Marshall</t>
  </si>
  <si>
    <t>3978</t>
  </si>
  <si>
    <t>East Mills</t>
  </si>
  <si>
    <t>6741</t>
  </si>
  <si>
    <t>East Sac County</t>
  </si>
  <si>
    <t>1970</t>
  </si>
  <si>
    <t>East Union</t>
  </si>
  <si>
    <t>1972</t>
  </si>
  <si>
    <t>Eastern Allamakee</t>
  </si>
  <si>
    <t>1965</t>
  </si>
  <si>
    <t>Easton Valley</t>
  </si>
  <si>
    <t>0657</t>
  </si>
  <si>
    <t>Eddyville-Blakesburg-Fremont</t>
  </si>
  <si>
    <t>1989</t>
  </si>
  <si>
    <t>Edgewood-Colesburg</t>
  </si>
  <si>
    <t>2007</t>
  </si>
  <si>
    <t>Eldora-New Providence</t>
  </si>
  <si>
    <t>2088</t>
  </si>
  <si>
    <t>Emmetsburg</t>
  </si>
  <si>
    <t>2097</t>
  </si>
  <si>
    <t>English Valleys</t>
  </si>
  <si>
    <t>2113</t>
  </si>
  <si>
    <t>Essex</t>
  </si>
  <si>
    <t>2124</t>
  </si>
  <si>
    <t>Estherville-Lincoln Central</t>
  </si>
  <si>
    <t>2151</t>
  </si>
  <si>
    <t>Exira-Elk Horn-Kimballton</t>
  </si>
  <si>
    <t>2169</t>
  </si>
  <si>
    <t>Fairfield</t>
  </si>
  <si>
    <t>2295</t>
  </si>
  <si>
    <t>Forest City</t>
  </si>
  <si>
    <t>2313</t>
  </si>
  <si>
    <t>Fort Dodge</t>
  </si>
  <si>
    <t>2322</t>
  </si>
  <si>
    <t>Fort Madison</t>
  </si>
  <si>
    <t>2369</t>
  </si>
  <si>
    <t>Fremont-Mills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</si>
  <si>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</si>
  <si>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</si>
  <si>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</si>
  <si>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</si>
  <si>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</si>
  <si>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</si>
  <si>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</si>
  <si>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</si>
  <si>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</si>
  <si>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</si>
  <si>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2502</t>
  </si>
  <si>
    <t>Gladbrook-Reinbeck</t>
  </si>
  <si>
    <t>2511</t>
  </si>
  <si>
    <t>Glenwood</t>
  </si>
  <si>
    <t>2520</t>
  </si>
  <si>
    <t>Glidden-Ralston</t>
  </si>
  <si>
    <t>2682</t>
  </si>
  <si>
    <t>GMG</t>
  </si>
  <si>
    <t>2556</t>
  </si>
  <si>
    <t>Graettinger-Terril</t>
  </si>
  <si>
    <t>3195</t>
  </si>
  <si>
    <t>Greene County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</si>
  <si>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</si>
  <si>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</si>
  <si>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</si>
  <si>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</si>
  <si>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</si>
  <si>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</si>
  <si>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</si>
  <si>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</si>
  <si>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2772</t>
  </si>
  <si>
    <t>Hamburg</t>
  </si>
  <si>
    <t>2781</t>
  </si>
  <si>
    <t>Hampton-Dumont</t>
  </si>
  <si>
    <t>2826</t>
  </si>
  <si>
    <t>Harlan</t>
  </si>
  <si>
    <t>2846</t>
  </si>
  <si>
    <t>Harris-Lake Park</t>
  </si>
  <si>
    <t>2862</t>
  </si>
  <si>
    <t>Hartley-Melvin-Sanborn</t>
  </si>
  <si>
    <t>2977</t>
  </si>
  <si>
    <t>Highland</t>
  </si>
  <si>
    <t>2988</t>
  </si>
  <si>
    <t>Hinton</t>
  </si>
  <si>
    <t>2766</t>
  </si>
  <si>
    <t>HLV</t>
  </si>
  <si>
    <t>3029</t>
  </si>
  <si>
    <t>Howard-Winneshiek</t>
  </si>
  <si>
    <t>3033</t>
  </si>
  <si>
    <t>Hubbard-Radcliffe</t>
  </si>
  <si>
    <t>3042</t>
  </si>
  <si>
    <t>Hudson</t>
  </si>
  <si>
    <t>3060</t>
  </si>
  <si>
    <t>Humboldt</t>
  </si>
  <si>
    <t>3168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</si>
  <si>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</si>
  <si>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</si>
  <si>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</si>
  <si>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</si>
  <si>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</si>
  <si>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</si>
  <si>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</si>
  <si>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</si>
  <si>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</si>
  <si>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</si>
  <si>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</si>
  <si>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</si>
  <si>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</si>
  <si>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</si>
  <si>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</si>
  <si>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</si>
  <si>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</si>
  <si>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</si>
  <si>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</si>
  <si>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</si>
  <si>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</si>
  <si>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</si>
  <si>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</si>
  <si>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</si>
  <si>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</si>
  <si>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</si>
  <si>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3420</t>
  </si>
  <si>
    <t>Lake Mills</t>
  </si>
  <si>
    <t>3465</t>
  </si>
  <si>
    <t>Lamoni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</si>
  <si>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</si>
  <si>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</si>
  <si>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</si>
  <si>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</si>
  <si>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</si>
  <si>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</si>
  <si>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</si>
  <si>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</si>
  <si>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</si>
  <si>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</si>
  <si>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</si>
  <si>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</si>
  <si>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</si>
  <si>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</si>
  <si>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</si>
  <si>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</si>
  <si>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</si>
  <si>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</si>
  <si>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</si>
  <si>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</si>
  <si>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</si>
  <si>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 Verne</t>
  </si>
  <si>
    <t>3906</t>
  </si>
  <si>
    <t>Lynnville-Sully</t>
  </si>
  <si>
    <t>3942</t>
  </si>
  <si>
    <t>Madrid</t>
  </si>
  <si>
    <t>4023</t>
  </si>
  <si>
    <t>Manson-Northwest Webster</t>
  </si>
  <si>
    <t>4033</t>
  </si>
  <si>
    <t>Maple Valley-Anthon Oto</t>
  </si>
  <si>
    <t>4041</t>
  </si>
  <si>
    <t>Maquoketa</t>
  </si>
  <si>
    <t>4043</t>
  </si>
  <si>
    <t>Maquoketa Valley</t>
  </si>
  <si>
    <t>4068</t>
  </si>
  <si>
    <t>Marcus-Meriden Cleghorn</t>
  </si>
  <si>
    <t>4086</t>
  </si>
  <si>
    <t>Marion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</si>
  <si>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</si>
  <si>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</si>
  <si>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</si>
  <si>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</si>
  <si>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</si>
  <si>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</si>
  <si>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</si>
  <si>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</si>
  <si>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</si>
  <si>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</si>
  <si>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4419</t>
  </si>
  <si>
    <t>MFL Mar Mac</t>
  </si>
  <si>
    <t>4269</t>
  </si>
  <si>
    <t>Midland</t>
  </si>
  <si>
    <t>4271</t>
  </si>
  <si>
    <t>Mid-Prairie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</si>
  <si>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</si>
  <si>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</si>
  <si>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</si>
  <si>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</si>
  <si>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</si>
  <si>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</si>
  <si>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</si>
  <si>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</si>
  <si>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</si>
  <si>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</si>
  <si>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</si>
  <si>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</si>
  <si>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</si>
  <si>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</si>
  <si>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</si>
  <si>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</si>
  <si>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</si>
  <si>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</si>
  <si>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</si>
  <si>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</si>
  <si>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</si>
  <si>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</si>
  <si>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</si>
  <si>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</si>
  <si>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</si>
  <si>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</si>
  <si>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</si>
  <si>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</si>
  <si>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</si>
  <si>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</si>
  <si>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</si>
  <si>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</si>
  <si>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</si>
  <si>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</si>
  <si>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</si>
  <si>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</si>
  <si>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</si>
  <si>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</si>
  <si>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2673</t>
  </si>
  <si>
    <t>Nodaway Valley</t>
  </si>
  <si>
    <t>0153</t>
  </si>
  <si>
    <t>North Butler</t>
  </si>
  <si>
    <t>3691</t>
  </si>
  <si>
    <t>North Cedar</t>
  </si>
  <si>
    <t>4774</t>
  </si>
  <si>
    <t>North Fayette Valley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</si>
  <si>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</si>
  <si>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</si>
  <si>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</si>
  <si>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</si>
  <si>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</si>
  <si>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</si>
  <si>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</si>
  <si>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</si>
  <si>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</si>
  <si>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</si>
  <si>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</si>
  <si>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</si>
  <si>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</si>
  <si>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</t>
  </si>
  <si>
    <t>0333</t>
  </si>
  <si>
    <t>North Union</t>
  </si>
  <si>
    <t>4773</t>
  </si>
  <si>
    <t>Northeast</t>
  </si>
  <si>
    <t>4775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</si>
  <si>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</si>
  <si>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</si>
  <si>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</si>
  <si>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</si>
  <si>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</si>
  <si>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</si>
  <si>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</si>
  <si>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</si>
  <si>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</si>
  <si>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</si>
  <si>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</si>
  <si>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</si>
  <si>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</si>
  <si>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</t>
  </si>
  <si>
    <t>4978</t>
  </si>
  <si>
    <t>Orient-Macksburg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</si>
  <si>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</si>
  <si>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</si>
  <si>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</si>
  <si>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</si>
  <si>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</si>
  <si>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</si>
  <si>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</si>
  <si>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</si>
  <si>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</si>
  <si>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</si>
  <si>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5319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</si>
  <si>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</si>
  <si>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</si>
  <si>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</si>
  <si>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</si>
  <si>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</si>
  <si>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</si>
  <si>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</si>
  <si>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</si>
  <si>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</si>
  <si>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</si>
  <si>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</si>
  <si>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</si>
  <si>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</si>
  <si>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</si>
  <si>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</si>
  <si>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</si>
  <si>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5323</t>
  </si>
  <si>
    <t>5325</t>
  </si>
  <si>
    <t>Prairie Valley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</si>
  <si>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</si>
  <si>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</si>
  <si>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</si>
  <si>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</si>
  <si>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</si>
  <si>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</si>
  <si>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</si>
  <si>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</si>
  <si>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4824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</si>
  <si>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</si>
  <si>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</si>
  <si>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</si>
  <si>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</si>
  <si>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</si>
  <si>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</si>
  <si>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</si>
  <si>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Rock</t>
  </si>
  <si>
    <t>5724</t>
  </si>
  <si>
    <t>Ruthven-Ayrshire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</si>
  <si>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</si>
  <si>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</si>
  <si>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</si>
  <si>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</si>
  <si>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</si>
  <si>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</si>
  <si>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</si>
  <si>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</si>
  <si>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</si>
  <si>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</si>
  <si>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</si>
  <si>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</si>
  <si>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</si>
  <si>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</si>
  <si>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</si>
  <si>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</si>
  <si>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</si>
  <si>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</si>
  <si>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</si>
  <si>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</si>
  <si>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</si>
  <si>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</si>
  <si>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6048</t>
  </si>
  <si>
    <t>6035</t>
  </si>
  <si>
    <t>Sioux Central</t>
  </si>
  <si>
    <t>6039</t>
  </si>
  <si>
    <t>Sioux City</t>
  </si>
  <si>
    <t>6093</t>
  </si>
  <si>
    <t>Solon</t>
  </si>
  <si>
    <t>6091</t>
  </si>
  <si>
    <t>South Central Calhoun</t>
  </si>
  <si>
    <t>6095</t>
  </si>
  <si>
    <t>South Hamilton</t>
  </si>
  <si>
    <t>5157</t>
  </si>
  <si>
    <t>6099</t>
  </si>
  <si>
    <t>South O'Brien</t>
  </si>
  <si>
    <t>6097</t>
  </si>
  <si>
    <t>South Page</t>
  </si>
  <si>
    <t>6098</t>
  </si>
  <si>
    <t>South Tama</t>
  </si>
  <si>
    <t>6100</t>
  </si>
  <si>
    <t>South Winneshiek</t>
  </si>
  <si>
    <t>6101</t>
  </si>
  <si>
    <t>Southeast Polk</t>
  </si>
  <si>
    <t>6094</t>
  </si>
  <si>
    <t>Southeast Warren</t>
  </si>
  <si>
    <t>6096</t>
  </si>
  <si>
    <t>Southeast Webster-Grand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</si>
  <si>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</si>
  <si>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</si>
  <si>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</si>
  <si>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</si>
  <si>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</si>
  <si>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</si>
  <si>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</si>
  <si>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</si>
  <si>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</si>
  <si>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</si>
  <si>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</si>
  <si>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</si>
  <si>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</si>
  <si>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</si>
  <si>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</si>
  <si>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</si>
  <si>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</si>
  <si>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</si>
  <si>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</si>
  <si>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</si>
  <si>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</si>
  <si>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</si>
  <si>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</si>
  <si>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</si>
  <si>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</si>
  <si>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</si>
  <si>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</si>
  <si>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</si>
  <si>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</si>
  <si>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</si>
  <si>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</si>
  <si>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</si>
  <si>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</si>
  <si>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</si>
  <si>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</si>
  <si>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</si>
  <si>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1935</t>
  </si>
  <si>
    <t>6536</t>
  </si>
  <si>
    <t>Union</t>
  </si>
  <si>
    <t>6561</t>
  </si>
  <si>
    <t>United</t>
  </si>
  <si>
    <t>6579</t>
  </si>
  <si>
    <t>Urbandale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</si>
  <si>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</si>
  <si>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</si>
  <si>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</si>
  <si>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</si>
  <si>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</si>
  <si>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</si>
  <si>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</si>
  <si>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</si>
  <si>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</si>
  <si>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</si>
  <si>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</si>
  <si>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</si>
  <si>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</si>
  <si>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</si>
  <si>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</si>
  <si>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</si>
  <si>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</si>
  <si>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</si>
  <si>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</si>
  <si>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</si>
  <si>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</si>
  <si>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</si>
  <si>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</si>
  <si>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</si>
  <si>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</si>
  <si>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</si>
  <si>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</si>
  <si>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</si>
  <si>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</si>
  <si>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</si>
  <si>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</t>
  </si>
  <si>
    <t>6943</t>
  </si>
  <si>
    <t>West Central</t>
  </si>
  <si>
    <t>6264</t>
  </si>
  <si>
    <t>West Central Valley</t>
  </si>
  <si>
    <t>6950</t>
  </si>
  <si>
    <t>West Delaware Co</t>
  </si>
  <si>
    <t>6957</t>
  </si>
  <si>
    <t>West Des Moines</t>
  </si>
  <si>
    <t>5922</t>
  </si>
  <si>
    <t>West Fork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</si>
  <si>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</si>
  <si>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</si>
  <si>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</si>
  <si>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</si>
  <si>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</si>
  <si>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</si>
  <si>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</si>
  <si>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</si>
  <si>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</si>
  <si>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</si>
  <si>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</si>
  <si>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</si>
  <si>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</si>
  <si>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</si>
  <si>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</si>
  <si>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 Co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</si>
  <si>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</si>
  <si>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</si>
  <si>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</si>
  <si>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</si>
  <si>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</si>
  <si>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</si>
  <si>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</si>
  <si>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</si>
  <si>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</si>
  <si>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</si>
  <si>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</si>
  <si>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</si>
  <si>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</si>
  <si>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</si>
  <si>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</si>
  <si>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</si>
  <si>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</si>
  <si>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</si>
  <si>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FiscalYear</t>
  </si>
  <si>
    <t>AEA</t>
  </si>
  <si>
    <t>Dist</t>
  </si>
  <si>
    <t>DistrictNumber</t>
  </si>
  <si>
    <t>DistSub1</t>
  </si>
  <si>
    <t>DistSub2</t>
  </si>
  <si>
    <t>District</t>
  </si>
  <si>
    <t>District Name</t>
  </si>
  <si>
    <t>Expenditures</t>
  </si>
  <si>
    <t>Miscellaneous Income</t>
  </si>
  <si>
    <t>Assigned &amp; Unassigned</t>
  </si>
  <si>
    <t>Total Fund Balance</t>
  </si>
  <si>
    <t>Number</t>
  </si>
  <si>
    <t>Fund Balance</t>
  </si>
  <si>
    <t>IKM-Manning</t>
  </si>
  <si>
    <t>South Tama County</t>
  </si>
  <si>
    <t>20% of Expenditures</t>
  </si>
  <si>
    <t>Assigned and Unassigned Fund Balance</t>
  </si>
  <si>
    <t>Label</t>
  </si>
  <si>
    <t>Final Cash Reserve Levy</t>
  </si>
  <si>
    <t>Number of Districts unable to levy for Cash Reserve:</t>
  </si>
  <si>
    <t>Number of Districts Levying for Cash Reserve:</t>
  </si>
  <si>
    <t>Number of Districts Levying Maximum for Cash Reserve Levy:</t>
  </si>
  <si>
    <t>Number of Districts Not Levying for Cash Reserve but have the Ability:</t>
  </si>
  <si>
    <t/>
  </si>
  <si>
    <t>Van Buren County</t>
  </si>
  <si>
    <t>Fiscal Year</t>
  </si>
  <si>
    <t>Total Cash Reserve Levy</t>
  </si>
  <si>
    <t>Percent Change</t>
  </si>
  <si>
    <t>Levying Maximum Cash Reserve</t>
  </si>
  <si>
    <t>AGWSR Comm School District</t>
  </si>
  <si>
    <t>Adair-Casey Comm School District</t>
  </si>
  <si>
    <t>Adel DeSoto Minburn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</si>
  <si>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</si>
  <si>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</si>
  <si>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</si>
  <si>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</si>
  <si>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</si>
  <si>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</si>
  <si>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Allamakee Comm School District</t>
  </si>
  <si>
    <t>North Butler Comm School District</t>
  </si>
  <si>
    <t>Alta-Aurelia Comm School District</t>
  </si>
  <si>
    <t>Ames Comm School District</t>
  </si>
  <si>
    <t>Anamosa Comm School District</t>
  </si>
  <si>
    <t>Andrew Comm School District</t>
  </si>
  <si>
    <t>Ankeny Comm School District</t>
  </si>
  <si>
    <t>Aplington-Parkersburg Comm School District</t>
  </si>
  <si>
    <t>North Union Comm School District</t>
  </si>
  <si>
    <t>Ar-We-Va Comm School District</t>
  </si>
  <si>
    <t>Atlantic Comm School District</t>
  </si>
  <si>
    <t>Audubon Comm School District</t>
  </si>
  <si>
    <t>AHSTW Comm School District</t>
  </si>
  <si>
    <t>Ballard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</si>
  <si>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</si>
  <si>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</si>
  <si>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</si>
  <si>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</si>
  <si>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</si>
  <si>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</si>
  <si>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</si>
  <si>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</si>
  <si>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</si>
  <si>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Eddyville-Blakesburg- Fremont CSD</t>
  </si>
  <si>
    <t>Bondurant-Farrar Comm School District</t>
  </si>
  <si>
    <t>Boone Comm School District</t>
  </si>
  <si>
    <t>Boyden-Hull Comm School District</t>
  </si>
  <si>
    <t>West Hancock Comm School District</t>
  </si>
  <si>
    <t>Brooklyn-Guernsey-Malcom Comm School District</t>
  </si>
  <si>
    <t>North Iowa Comm School District</t>
  </si>
  <si>
    <t>Burlington Comm School District</t>
  </si>
  <si>
    <t>CAM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</si>
  <si>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</si>
  <si>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</si>
  <si>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</si>
  <si>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</si>
  <si>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</si>
  <si>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</si>
  <si>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</si>
  <si>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</si>
  <si>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</si>
  <si>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</si>
  <si>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</si>
  <si>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</si>
  <si>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</si>
  <si>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</si>
  <si>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</si>
  <si>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</si>
  <si>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</si>
  <si>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</si>
  <si>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</si>
  <si>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</si>
  <si>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</si>
  <si>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</si>
  <si>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</si>
  <si>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</si>
  <si>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</si>
  <si>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Clear Creek Amana Comm School District</t>
  </si>
  <si>
    <t>Clear Lake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</si>
  <si>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</si>
  <si>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</si>
  <si>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</si>
  <si>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</si>
  <si>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Comm School District</t>
  </si>
  <si>
    <t>Columbus Comm School District</t>
  </si>
  <si>
    <t>Coon Rapids-Bayard Comm School District</t>
  </si>
  <si>
    <t>Corning Comm School District</t>
  </si>
  <si>
    <t>Council Bluffs Comm School District</t>
  </si>
  <si>
    <t>Creston Comm School District</t>
  </si>
  <si>
    <t>Dallas Center-Grimes Comm School District</t>
  </si>
  <si>
    <t>Danville Comm School District</t>
  </si>
  <si>
    <t>Davenport Comm School District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</si>
  <si>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</si>
  <si>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</si>
  <si>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</si>
  <si>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</si>
  <si>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</si>
  <si>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</si>
  <si>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</si>
  <si>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</si>
  <si>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</si>
  <si>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</si>
  <si>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</si>
  <si>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</si>
  <si>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</si>
  <si>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</si>
  <si>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</si>
  <si>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</si>
  <si>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East Marshall Comm School District</t>
  </si>
  <si>
    <t>East Union Comm School District</t>
  </si>
  <si>
    <t>Eastern Allamakee Comm School District</t>
  </si>
  <si>
    <t>River Valley Comm School District</t>
  </si>
  <si>
    <t>Edgewood-Colesburg Comm School District</t>
  </si>
  <si>
    <t>Eldora-New Providence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</si>
  <si>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</si>
  <si>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</si>
  <si>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</si>
  <si>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</si>
  <si>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Exira-Elk Horn- Kimballton Comm Sch Dist</t>
  </si>
  <si>
    <t>Fairfield Comm School District</t>
  </si>
  <si>
    <t>Forest City Comm School District</t>
  </si>
  <si>
    <t>Fort Dodge Comm School District</t>
  </si>
  <si>
    <t>Fort Madison Comm School District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</si>
  <si>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</si>
  <si>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</si>
  <si>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</si>
  <si>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</si>
  <si>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</si>
  <si>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</si>
  <si>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</si>
  <si>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</si>
  <si>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</si>
  <si>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Graettinger-Terril Comm School District</t>
  </si>
  <si>
    <t>Nodaway Valley Comm School District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</si>
  <si>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</si>
  <si>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</si>
  <si>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</si>
  <si>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</si>
  <si>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</si>
  <si>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</si>
  <si>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</si>
  <si>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</si>
  <si>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</si>
  <si>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</si>
  <si>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</si>
  <si>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Hartley-Melvin-Sanborn Comm School District</t>
  </si>
  <si>
    <t>Highland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</si>
  <si>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</si>
  <si>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</si>
  <si>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</si>
  <si>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</si>
  <si>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</si>
  <si>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</si>
  <si>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</si>
  <si>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</si>
  <si>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</si>
  <si>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</si>
  <si>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</si>
  <si>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</si>
  <si>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</si>
  <si>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</si>
  <si>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</si>
  <si>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</si>
  <si>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</si>
  <si>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</si>
  <si>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</si>
  <si>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</si>
  <si>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</si>
  <si>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</si>
  <si>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</si>
  <si>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</si>
  <si>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</si>
  <si>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</si>
  <si>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</si>
  <si>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</si>
  <si>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</si>
  <si>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</si>
  <si>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</si>
  <si>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</si>
  <si>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</si>
  <si>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</si>
  <si>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</si>
  <si>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</si>
  <si>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</si>
  <si>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</si>
  <si>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</si>
  <si>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</si>
  <si>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</si>
  <si>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</si>
  <si>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</si>
  <si>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</si>
  <si>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</si>
  <si>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</si>
  <si>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</si>
  <si>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</si>
  <si>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</si>
  <si>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</si>
  <si>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</si>
  <si>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</si>
  <si>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</si>
  <si>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</si>
  <si>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</si>
  <si>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</si>
  <si>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</si>
  <si>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</si>
  <si>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</si>
  <si>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</si>
  <si>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</si>
  <si>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</si>
  <si>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</si>
  <si>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</si>
  <si>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</si>
  <si>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</si>
  <si>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</si>
  <si>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</si>
  <si>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</si>
  <si>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</si>
  <si>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</si>
  <si>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</si>
  <si>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</si>
  <si>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</si>
  <si>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</si>
  <si>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</si>
  <si>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</si>
  <si>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</si>
  <si>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</si>
  <si>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</si>
  <si>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</si>
  <si>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</si>
  <si>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</si>
  <si>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</si>
  <si>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</si>
  <si>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</si>
  <si>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</si>
  <si>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</si>
  <si>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</si>
  <si>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</si>
  <si>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</si>
  <si>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</si>
  <si>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</si>
  <si>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</si>
  <si>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</si>
  <si>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</si>
  <si>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</si>
  <si>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</si>
  <si>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</si>
  <si>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</si>
  <si>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</si>
  <si>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</si>
  <si>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</si>
  <si>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</si>
  <si>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</si>
  <si>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</si>
  <si>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</si>
  <si>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</si>
  <si>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</si>
  <si>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</si>
  <si>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</si>
  <si>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</si>
  <si>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</si>
  <si>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</si>
  <si>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</si>
  <si>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</si>
  <si>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</si>
  <si>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</si>
  <si>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</si>
  <si>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</si>
  <si>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</si>
  <si>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</si>
  <si>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</si>
  <si>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</si>
  <si>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</si>
  <si>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</si>
  <si>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</si>
  <si>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</si>
  <si>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</si>
  <si>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</si>
  <si>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>South O'Brien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</si>
  <si>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</si>
  <si>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</si>
  <si>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</si>
  <si>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</si>
  <si>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</si>
  <si>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</si>
  <si>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</si>
  <si>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</si>
  <si>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</si>
  <si>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</si>
  <si>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</si>
  <si>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</si>
  <si>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</si>
  <si>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</si>
  <si>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</si>
  <si>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</si>
  <si>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</si>
  <si>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</si>
  <si>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</si>
  <si>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</si>
  <si>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</si>
  <si>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</si>
  <si>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</si>
  <si>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</si>
  <si>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</si>
  <si>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</si>
  <si>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</si>
  <si>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</si>
  <si>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</si>
  <si>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</si>
  <si>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</si>
  <si>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</si>
  <si>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</si>
  <si>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</si>
  <si>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</si>
  <si>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</si>
  <si>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</si>
  <si>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</si>
  <si>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</si>
  <si>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</si>
  <si>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</si>
  <si>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</si>
  <si>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</si>
  <si>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</si>
  <si>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</si>
  <si>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</si>
  <si>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</si>
  <si>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</si>
  <si>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</si>
  <si>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</si>
  <si>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</si>
  <si>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</si>
  <si>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</si>
  <si>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</si>
  <si>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</si>
  <si>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</si>
  <si>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</si>
  <si>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</si>
  <si>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</si>
  <si>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FY21 Expenditures, Misc Income and Assigned and Unassigned Fund Balance</t>
  </si>
  <si>
    <t>Final Maximum Cash Reserve Levy</t>
  </si>
  <si>
    <t>Final 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</si>
</sst>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/>
      <diagonal/>
    </border>
    <border>
      <left style="thin">
        <color rgb="FFC1C1C1"/>
      </left>
      <right style="thin">
        <color rgb="FFC1C1C1"/>
      </right>
      <top style="medium">
        <color rgb="FF000000"/>
      </top>
      <bottom/>
      <diagonal/>
    </border>
    <border>
      <left style="thin">
        <color rgb="FFC1C1C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/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medium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0" fillId="0" borderId="0" xfId="0" applyNumberFormat="1"/>
    <xf numFmtId="49" fontId="0" fillId="0" borderId="0" xfId="0" applyNumberFormat="1"/>
    <xf numFmtId="3" fontId="2" fillId="0" borderId="0" xfId="0" applyNumberFormat="1" applyFont="1" applyAlignment="1">
      <alignment horizontal="right"/>
    </xf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9" fontId="2" fillId="0" borderId="1" xfId="1" applyFont="1" applyBorder="1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2" fillId="0" borderId="2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4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3"/>
  <sheetViews>
    <sheetView tabSelected="1" zoomScaleNormal="100" workbookViewId="0">
      <pane xSplit="7" ySplit="2" topLeftCell="H3" activePane="bottomRight" state="frozen"/>
      <selection pane="topRight" activeCell="L1" sqref="L1"/>
      <selection pane="bottomLeft" activeCell="A2" sqref="A2"/>
      <selection pane="bottomRight" activeCell="G6" sqref="G6"/>
    </sheetView>
  </sheetViews>
  <sheetFormatPr defaultRowHeight="12.75" x14ac:dyDescent="0.2"/>
  <cols>
    <col min="1" max="1" width="9.140625" style="1" customWidth="1"/>
    <col min="2" max="2" width="4.85546875" style="1" hidden="1" customWidth="1"/>
    <col min="3" max="3" width="4.42578125" style="1" bestFit="1" customWidth="1"/>
    <col min="4" max="4" width="9.140625" style="1" hidden="1" customWidth="1"/>
    <col min="5" max="6" width="8.28515625" style="1" hidden="1" customWidth="1"/>
    <col min="7" max="7" width="30.85546875" style="1" bestFit="1" customWidth="1"/>
    <col min="8" max="8" width="12" style="1" customWidth="1"/>
    <col min="9" max="9" width="13" style="1" customWidth="1"/>
    <col min="10" max="10" width="14.42578125" style="1" bestFit="1" customWidth="1"/>
    <col min="11" max="11" width="14" style="2" customWidth="1"/>
    <col min="12" max="12" width="14.7109375" style="1" customWidth="1"/>
    <col min="13" max="13" width="12.5703125" style="1" customWidth="1"/>
    <col min="14" max="14" width="22.28515625" style="1" customWidth="1"/>
    <col min="15" max="16" width="9.140625" style="1" customWidth="1"/>
    <col min="17" max="16384" width="9.140625" style="1"/>
  </cols>
  <sheetData>
    <row r="1" spans="1:15" ht="30" customHeight="1" x14ac:dyDescent="0.2">
      <c r="C1" s="38" t="str">
        <f>_xlfn.CONCAT("SBRC FY ",A3," Final Cash Reserve Levy Limitations
Source: FY ",A3-2," Certified Annual Report")</f>
        <v>SBRC FY 2023 Final Cash Reserve Levy Limitations
Source: FY 2021 Certified Annual Report</v>
      </c>
      <c r="D1" s="38"/>
      <c r="E1" s="38"/>
      <c r="F1" s="38"/>
      <c r="G1" s="38"/>
      <c r="H1" s="38"/>
      <c r="I1" s="38"/>
      <c r="J1" s="38"/>
      <c r="K1" s="38"/>
    </row>
    <row r="2" spans="1:15" ht="37.5" customHeight="1" x14ac:dyDescent="0.2">
      <c r="A2" s="13" t="s">
        <v>673</v>
      </c>
      <c r="B2" s="13" t="s">
        <v>674</v>
      </c>
      <c r="C2" s="21" t="s">
        <v>675</v>
      </c>
      <c r="D2" s="13" t="s">
        <v>677</v>
      </c>
      <c r="E2" s="13" t="s">
        <v>678</v>
      </c>
      <c r="F2" s="13" t="s">
        <v>676</v>
      </c>
      <c r="G2" s="20" t="s">
        <v>691</v>
      </c>
      <c r="H2" s="14" t="s">
        <v>681</v>
      </c>
      <c r="I2" s="14" t="s">
        <v>689</v>
      </c>
      <c r="J2" s="14" t="s">
        <v>690</v>
      </c>
      <c r="K2" s="15" t="s">
        <v>1030</v>
      </c>
      <c r="L2" s="15" t="s">
        <v>692</v>
      </c>
      <c r="M2" s="15" t="s">
        <v>702</v>
      </c>
    </row>
    <row r="3" spans="1:15" x14ac:dyDescent="0.2">
      <c r="A3" s="17">
        <v>2023</v>
      </c>
      <c r="B3" s="17" t="s">
        <v>0</v>
      </c>
      <c r="C3" s="17" t="s">
        <v>1</v>
      </c>
      <c r="D3" s="17" t="s">
        <v>697</v>
      </c>
      <c r="E3" s="17" t="s">
        <v>697</v>
      </c>
      <c r="F3" s="17" t="s">
        <v>1</v>
      </c>
      <c r="G3" s="17" t="s">
        <v>2</v>
      </c>
      <c r="H3" s="18">
        <f>ROUND(SUMPRODUCT(SUMIF(Final!$G$5:$G$331,CashReserveLevy!D3:F3,Final!$C$5:$C$331)),0)</f>
        <v>4522993</v>
      </c>
      <c r="I3" s="18">
        <f>ROUND(H3*0.2,0)</f>
        <v>904599</v>
      </c>
      <c r="J3" s="18">
        <f>ROUND(SUMPRODUCT(SUMIF(Final!$G$5:$G$331,CashReserveLevy!D3:F3,Final!$E$5:$E$331)),0)</f>
        <v>1371626</v>
      </c>
      <c r="K3" s="18">
        <f>IF(I3&gt;J3,I3-J3,0)</f>
        <v>0</v>
      </c>
      <c r="L3" s="18">
        <f>INDEX(ActualCRLevy_SAS!$A$2:$D$328,MATCH(CashReserveLevy!$C3,ActualCRLevy_SAS!$B$2:$B$328,0),4)</f>
        <v>0</v>
      </c>
      <c r="M3" s="19" t="str">
        <f>IF(AND(L3=K3,K3&gt;0),"Max","")</f>
        <v/>
      </c>
      <c r="N3" s="1" t="str">
        <f>IF(AND(L3&lt;K3,L3=0),"No Levy but have Capacity","")</f>
        <v/>
      </c>
      <c r="O3" s="1" t="str">
        <f t="shared" ref="O3:O12" si="0">IF(L3&gt;K3,"Exceedes Maximum Limit","")</f>
        <v/>
      </c>
    </row>
    <row r="4" spans="1:15" x14ac:dyDescent="0.2">
      <c r="A4" s="17">
        <v>2023</v>
      </c>
      <c r="B4" s="17" t="s">
        <v>0</v>
      </c>
      <c r="C4" s="17" t="s">
        <v>3</v>
      </c>
      <c r="D4" s="17" t="s">
        <v>697</v>
      </c>
      <c r="E4" s="17" t="s">
        <v>697</v>
      </c>
      <c r="F4" s="17" t="s">
        <v>3</v>
      </c>
      <c r="G4" s="17" t="s">
        <v>4</v>
      </c>
      <c r="H4" s="18">
        <f>ROUND(SUMPRODUCT(SUMIF(Final!$G$5:$G$331,CashReserveLevy!D4:F4,Final!$C$5:$C$331)),0)</f>
        <v>22005001</v>
      </c>
      <c r="I4" s="18">
        <f>ROUND(H4*0.2,0)</f>
        <v>4401000</v>
      </c>
      <c r="J4" s="18">
        <f>ROUND(SUMPRODUCT(SUMIF(Final!$G$5:$G$331,CashReserveLevy!D4:F4,Final!$E$5:$E$331)),0)</f>
        <v>5246763</v>
      </c>
      <c r="K4" s="18">
        <f t="shared" ref="K4:K67" si="1">IF(I4&gt;J4,I4-J4,0)</f>
        <v>0</v>
      </c>
      <c r="L4" s="18">
        <f>INDEX(ActualCRLevy_SAS!$A$2:$D$328,MATCH(CashReserveLevy!$C4,ActualCRLevy_SAS!$B$2:$B$328,0),4)</f>
        <v>0</v>
      </c>
      <c r="M4" s="19" t="str">
        <f t="shared" ref="M4:M67" si="2">IF(AND(L4=K4,K4&gt;0),"Max","")</f>
        <v/>
      </c>
      <c r="N4" s="1" t="str">
        <f t="shared" ref="N4:N67" si="3">IF(AND(L4&lt;K4,L4=0),"No Levy but have Capacity","")</f>
        <v/>
      </c>
      <c r="O4" s="1" t="str">
        <f t="shared" si="0"/>
        <v/>
      </c>
    </row>
    <row r="5" spans="1:15" x14ac:dyDescent="0.2">
      <c r="A5" s="17">
        <v>2023</v>
      </c>
      <c r="B5" s="17" t="s">
        <v>5</v>
      </c>
      <c r="C5" s="17" t="s">
        <v>6</v>
      </c>
      <c r="D5" s="17" t="s">
        <v>697</v>
      </c>
      <c r="E5" s="17" t="s">
        <v>697</v>
      </c>
      <c r="F5" s="17" t="s">
        <v>6</v>
      </c>
      <c r="G5" s="17" t="s">
        <v>7</v>
      </c>
      <c r="H5" s="18">
        <f>ROUND(SUMPRODUCT(SUMIF(Final!$G$5:$G$331,CashReserveLevy!D5:F5,Final!$C$5:$C$331)),0)</f>
        <v>8770626</v>
      </c>
      <c r="I5" s="18">
        <f t="shared" ref="I5:I67" si="4">ROUND(H5*0.2,0)</f>
        <v>1754125</v>
      </c>
      <c r="J5" s="18">
        <f>ROUND(SUMPRODUCT(SUMIF(Final!$G$5:$G$331,CashReserveLevy!D5:F5,Final!$E$5:$E$331)),0)</f>
        <v>1190116</v>
      </c>
      <c r="K5" s="18">
        <f t="shared" si="1"/>
        <v>564009</v>
      </c>
      <c r="L5" s="18">
        <f>INDEX(ActualCRLevy_SAS!$A$2:$D$328,MATCH(CashReserveLevy!$C5,ActualCRLevy_SAS!$B$2:$B$328,0),4)</f>
        <v>0</v>
      </c>
      <c r="M5" s="19" t="str">
        <f t="shared" si="2"/>
        <v/>
      </c>
      <c r="N5" s="1" t="str">
        <f t="shared" si="3"/>
        <v>No Levy but have Capacity</v>
      </c>
      <c r="O5" s="1" t="str">
        <f t="shared" si="0"/>
        <v/>
      </c>
    </row>
    <row r="6" spans="1:15" x14ac:dyDescent="0.2">
      <c r="A6" s="17">
        <v>2023</v>
      </c>
      <c r="B6" s="17" t="s">
        <v>8</v>
      </c>
      <c r="C6" s="17" t="s">
        <v>9</v>
      </c>
      <c r="D6" s="17" t="s">
        <v>697</v>
      </c>
      <c r="E6" s="17" t="s">
        <v>697</v>
      </c>
      <c r="F6" s="17" t="s">
        <v>9</v>
      </c>
      <c r="G6" s="17" t="s">
        <v>10</v>
      </c>
      <c r="H6" s="18">
        <f>ROUND(SUMPRODUCT(SUMIF(Final!$G$5:$G$331,CashReserveLevy!D6:F6,Final!$C$5:$C$331)),0)</f>
        <v>9536413</v>
      </c>
      <c r="I6" s="18">
        <f t="shared" si="4"/>
        <v>1907283</v>
      </c>
      <c r="J6" s="18">
        <f>ROUND(SUMPRODUCT(SUMIF(Final!$G$5:$G$331,CashReserveLevy!D6:F6,Final!$E$5:$E$331)),0)</f>
        <v>2743174</v>
      </c>
      <c r="K6" s="18">
        <f t="shared" si="1"/>
        <v>0</v>
      </c>
      <c r="L6" s="18">
        <f>INDEX(ActualCRLevy_SAS!$A$2:$D$328,MATCH(CashReserveLevy!$C6,ActualCRLevy_SAS!$B$2:$B$328,0),4)</f>
        <v>0</v>
      </c>
      <c r="M6" s="19" t="str">
        <f t="shared" si="2"/>
        <v/>
      </c>
      <c r="N6" s="1" t="str">
        <f t="shared" si="3"/>
        <v/>
      </c>
      <c r="O6" s="1" t="str">
        <f t="shared" si="0"/>
        <v/>
      </c>
    </row>
    <row r="7" spans="1:15" x14ac:dyDescent="0.2">
      <c r="A7" s="17">
        <v>2023</v>
      </c>
      <c r="B7" s="17" t="s">
        <v>11</v>
      </c>
      <c r="C7" s="17" t="s">
        <v>12</v>
      </c>
      <c r="D7" s="17" t="s">
        <v>697</v>
      </c>
      <c r="E7" s="17" t="s">
        <v>697</v>
      </c>
      <c r="F7" s="17" t="s">
        <v>12</v>
      </c>
      <c r="G7" s="17" t="s">
        <v>13</v>
      </c>
      <c r="H7" s="18">
        <f>ROUND(SUMPRODUCT(SUMIF(Final!$G$5:$G$331,CashReserveLevy!D7:F7,Final!$C$5:$C$331)),0)</f>
        <v>7855863</v>
      </c>
      <c r="I7" s="18">
        <f t="shared" si="4"/>
        <v>1571173</v>
      </c>
      <c r="J7" s="18">
        <f>ROUND(SUMPRODUCT(SUMIF(Final!$G$5:$G$331,CashReserveLevy!D7:F7,Final!$E$5:$E$331)),0)</f>
        <v>1922334</v>
      </c>
      <c r="K7" s="18">
        <f t="shared" si="1"/>
        <v>0</v>
      </c>
      <c r="L7" s="18">
        <f>INDEX(ActualCRLevy_SAS!$A$2:$D$328,MATCH(CashReserveLevy!$C7,ActualCRLevy_SAS!$B$2:$B$328,0),4)</f>
        <v>0</v>
      </c>
      <c r="M7" s="19" t="str">
        <f t="shared" si="2"/>
        <v/>
      </c>
      <c r="N7" s="1" t="str">
        <f t="shared" si="3"/>
        <v/>
      </c>
      <c r="O7" s="1" t="str">
        <f t="shared" si="0"/>
        <v/>
      </c>
    </row>
    <row r="8" spans="1:15" x14ac:dyDescent="0.2">
      <c r="A8" s="17">
        <v>2023</v>
      </c>
      <c r="B8" s="17" t="s">
        <v>14</v>
      </c>
      <c r="C8" s="17" t="s">
        <v>15</v>
      </c>
      <c r="D8" s="17" t="s">
        <v>697</v>
      </c>
      <c r="E8" s="17" t="s">
        <v>697</v>
      </c>
      <c r="F8" s="17" t="s">
        <v>15</v>
      </c>
      <c r="G8" s="17" t="s">
        <v>16</v>
      </c>
      <c r="H8" s="18">
        <f>ROUND(SUMPRODUCT(SUMIF(Final!$G$5:$G$331,CashReserveLevy!D8:F8,Final!$C$5:$C$331)),0)</f>
        <v>2761298</v>
      </c>
      <c r="I8" s="18">
        <f t="shared" si="4"/>
        <v>552260</v>
      </c>
      <c r="J8" s="18">
        <f>ROUND(SUMPRODUCT(SUMIF(Final!$G$5:$G$331,CashReserveLevy!D8:F8,Final!$E$5:$E$331)),0)</f>
        <v>828332</v>
      </c>
      <c r="K8" s="18">
        <f t="shared" si="1"/>
        <v>0</v>
      </c>
      <c r="L8" s="18">
        <f>INDEX(ActualCRLevy_SAS!$A$2:$D$328,MATCH(CashReserveLevy!$C8,ActualCRLevy_SAS!$B$2:$B$328,0),4)</f>
        <v>0</v>
      </c>
      <c r="M8" s="19" t="str">
        <f t="shared" si="2"/>
        <v/>
      </c>
      <c r="N8" s="1" t="str">
        <f t="shared" si="3"/>
        <v/>
      </c>
      <c r="O8" s="1" t="str">
        <f t="shared" si="0"/>
        <v/>
      </c>
    </row>
    <row r="9" spans="1:15" x14ac:dyDescent="0.2">
      <c r="A9" s="17">
        <v>2023</v>
      </c>
      <c r="B9" s="17" t="s">
        <v>17</v>
      </c>
      <c r="C9" s="17" t="s">
        <v>18</v>
      </c>
      <c r="D9" s="17" t="s">
        <v>697</v>
      </c>
      <c r="E9" s="17" t="s">
        <v>697</v>
      </c>
      <c r="F9" s="17" t="s">
        <v>18</v>
      </c>
      <c r="G9" s="17" t="s">
        <v>19</v>
      </c>
      <c r="H9" s="18">
        <f>ROUND(SUMPRODUCT(SUMIF(Final!$G$5:$G$331,CashReserveLevy!D9:F9,Final!$C$5:$C$331)),0)</f>
        <v>13919076</v>
      </c>
      <c r="I9" s="18">
        <f t="shared" si="4"/>
        <v>2783815</v>
      </c>
      <c r="J9" s="18">
        <f>ROUND(SUMPRODUCT(SUMIF(Final!$G$5:$G$331,CashReserveLevy!D9:F9,Final!$E$5:$E$331)),0)</f>
        <v>4209200</v>
      </c>
      <c r="K9" s="18">
        <f t="shared" si="1"/>
        <v>0</v>
      </c>
      <c r="L9" s="18">
        <f>INDEX(ActualCRLevy_SAS!$A$2:$D$328,MATCH(CashReserveLevy!$C9,ActualCRLevy_SAS!$B$2:$B$328,0),4)</f>
        <v>0</v>
      </c>
      <c r="M9" s="19" t="str">
        <f t="shared" si="2"/>
        <v/>
      </c>
      <c r="N9" s="1" t="str">
        <f t="shared" si="3"/>
        <v/>
      </c>
      <c r="O9" s="1" t="str">
        <f t="shared" si="0"/>
        <v/>
      </c>
    </row>
    <row r="10" spans="1:15" x14ac:dyDescent="0.2">
      <c r="A10" s="17">
        <v>2023</v>
      </c>
      <c r="B10" s="17" t="s">
        <v>20</v>
      </c>
      <c r="C10" s="17" t="s">
        <v>21</v>
      </c>
      <c r="D10" s="17" t="s">
        <v>697</v>
      </c>
      <c r="E10" s="17" t="s">
        <v>697</v>
      </c>
      <c r="F10" s="17" t="s">
        <v>21</v>
      </c>
      <c r="G10" s="17" t="s">
        <v>22</v>
      </c>
      <c r="H10" s="18">
        <f>ROUND(SUMPRODUCT(SUMIF(Final!$G$5:$G$331,CashReserveLevy!D10:F10,Final!$C$5:$C$331)),0)</f>
        <v>7445544</v>
      </c>
      <c r="I10" s="18">
        <f t="shared" si="4"/>
        <v>1489109</v>
      </c>
      <c r="J10" s="18">
        <f>ROUND(SUMPRODUCT(SUMIF(Final!$G$5:$G$331,CashReserveLevy!D10:F10,Final!$E$5:$E$331)),0)</f>
        <v>2301527</v>
      </c>
      <c r="K10" s="18">
        <f t="shared" si="1"/>
        <v>0</v>
      </c>
      <c r="L10" s="18">
        <f>INDEX(ActualCRLevy_SAS!$A$2:$D$328,MATCH(CashReserveLevy!$C10,ActualCRLevy_SAS!$B$2:$B$328,0),4)</f>
        <v>0</v>
      </c>
      <c r="M10" s="19" t="str">
        <f t="shared" si="2"/>
        <v/>
      </c>
      <c r="N10" s="1" t="str">
        <f t="shared" si="3"/>
        <v/>
      </c>
      <c r="O10" s="1" t="str">
        <f t="shared" si="0"/>
        <v/>
      </c>
    </row>
    <row r="11" spans="1:15" x14ac:dyDescent="0.2">
      <c r="A11" s="17">
        <v>2023</v>
      </c>
      <c r="B11" s="17" t="s">
        <v>5</v>
      </c>
      <c r="C11" s="17" t="s">
        <v>23</v>
      </c>
      <c r="D11" s="17" t="s">
        <v>697</v>
      </c>
      <c r="E11" s="17" t="s">
        <v>697</v>
      </c>
      <c r="F11" s="17" t="s">
        <v>23</v>
      </c>
      <c r="G11" s="17" t="s">
        <v>24</v>
      </c>
      <c r="H11" s="18">
        <f>ROUND(SUMPRODUCT(SUMIF(Final!$G$5:$G$331,CashReserveLevy!D11:F11,Final!$C$5:$C$331)),0)</f>
        <v>3745324</v>
      </c>
      <c r="I11" s="18">
        <f t="shared" si="4"/>
        <v>749065</v>
      </c>
      <c r="J11" s="18">
        <f>ROUND(SUMPRODUCT(SUMIF(Final!$G$5:$G$331,CashReserveLevy!D11:F11,Final!$E$5:$E$331)),0)</f>
        <v>56930</v>
      </c>
      <c r="K11" s="18">
        <f t="shared" si="1"/>
        <v>692135</v>
      </c>
      <c r="L11" s="18">
        <f>INDEX(ActualCRLevy_SAS!$A$2:$D$328,MATCH(CashReserveLevy!$C11,ActualCRLevy_SAS!$B$2:$B$328,0),4)</f>
        <v>385000</v>
      </c>
      <c r="M11" s="19" t="str">
        <f t="shared" si="2"/>
        <v/>
      </c>
      <c r="N11" s="1" t="str">
        <f t="shared" si="3"/>
        <v/>
      </c>
      <c r="O11" s="1" t="str">
        <f t="shared" si="0"/>
        <v/>
      </c>
    </row>
    <row r="12" spans="1:15" x14ac:dyDescent="0.2">
      <c r="A12" s="17">
        <v>2023</v>
      </c>
      <c r="B12" s="17" t="s">
        <v>14</v>
      </c>
      <c r="C12" s="17" t="s">
        <v>25</v>
      </c>
      <c r="D12" s="17" t="s">
        <v>27</v>
      </c>
      <c r="E12" s="17" t="s">
        <v>697</v>
      </c>
      <c r="F12" s="17" t="s">
        <v>25</v>
      </c>
      <c r="G12" s="17" t="s">
        <v>26</v>
      </c>
      <c r="H12" s="18">
        <f>ROUND(SUMPRODUCT(SUMIF(Final!$G$5:$G$331,CashReserveLevy!D12:F12,Final!$C$5:$C$331)),0)</f>
        <v>18499674</v>
      </c>
      <c r="I12" s="18">
        <f t="shared" si="4"/>
        <v>3699935</v>
      </c>
      <c r="J12" s="18">
        <f>ROUND(SUMPRODUCT(SUMIF(Final!$G$5:$G$331,CashReserveLevy!D12:F12,Final!$E$5:$E$331)),0)</f>
        <v>2780861</v>
      </c>
      <c r="K12" s="18">
        <f t="shared" si="1"/>
        <v>919074</v>
      </c>
      <c r="L12" s="18">
        <f>INDEX(ActualCRLevy_SAS!$A$2:$D$328,MATCH(CashReserveLevy!$C12,ActualCRLevy_SAS!$B$2:$B$328,0),4)</f>
        <v>700000</v>
      </c>
      <c r="M12" s="19" t="str">
        <f t="shared" si="2"/>
        <v/>
      </c>
      <c r="N12" s="1" t="str">
        <f t="shared" si="3"/>
        <v/>
      </c>
      <c r="O12" s="1" t="str">
        <f t="shared" si="0"/>
        <v/>
      </c>
    </row>
    <row r="13" spans="1:15" x14ac:dyDescent="0.2">
      <c r="A13" s="17">
        <v>2023</v>
      </c>
      <c r="B13" s="17" t="s">
        <v>28</v>
      </c>
      <c r="C13" s="17" t="s">
        <v>29</v>
      </c>
      <c r="D13" s="17" t="s">
        <v>697</v>
      </c>
      <c r="E13" s="17" t="s">
        <v>697</v>
      </c>
      <c r="F13" s="17" t="s">
        <v>29</v>
      </c>
      <c r="G13" s="17" t="s">
        <v>30</v>
      </c>
      <c r="H13" s="18">
        <f>ROUND(SUMPRODUCT(SUMIF(Final!$G$5:$G$331,CashReserveLevy!D13:F13,Final!$C$5:$C$331)),0)</f>
        <v>13832471</v>
      </c>
      <c r="I13" s="18">
        <f t="shared" si="4"/>
        <v>2766494</v>
      </c>
      <c r="J13" s="18">
        <f>ROUND(SUMPRODUCT(SUMIF(Final!$G$5:$G$331,CashReserveLevy!D13:F13,Final!$E$5:$E$331)),0)</f>
        <v>3823570</v>
      </c>
      <c r="K13" s="18">
        <f t="shared" si="1"/>
        <v>0</v>
      </c>
      <c r="L13" s="18">
        <f>INDEX(ActualCRLevy_SAS!$A$2:$D$328,MATCH(CashReserveLevy!$C13,ActualCRLevy_SAS!$B$2:$B$328,0),4)</f>
        <v>0</v>
      </c>
      <c r="M13" s="19" t="str">
        <f t="shared" si="2"/>
        <v/>
      </c>
      <c r="N13" s="1" t="str">
        <f t="shared" si="3"/>
        <v/>
      </c>
      <c r="O13" s="1" t="str">
        <f t="shared" ref="O13:O76" si="5">IF(L13&gt;K13,"Exceedes Maximum Limit","")</f>
        <v/>
      </c>
    </row>
    <row r="14" spans="1:15" x14ac:dyDescent="0.2">
      <c r="A14" s="17">
        <v>2023</v>
      </c>
      <c r="B14" s="17" t="s">
        <v>14</v>
      </c>
      <c r="C14" s="17" t="s">
        <v>31</v>
      </c>
      <c r="D14" s="17" t="s">
        <v>697</v>
      </c>
      <c r="E14" s="17" t="s">
        <v>697</v>
      </c>
      <c r="F14" s="17" t="s">
        <v>31</v>
      </c>
      <c r="G14" s="17" t="s">
        <v>32</v>
      </c>
      <c r="H14" s="18">
        <f>ROUND(SUMPRODUCT(SUMIF(Final!$G$5:$G$331,CashReserveLevy!D14:F14,Final!$C$5:$C$331)),0)</f>
        <v>10460370</v>
      </c>
      <c r="I14" s="18">
        <f t="shared" si="4"/>
        <v>2092074</v>
      </c>
      <c r="J14" s="18">
        <f>ROUND(SUMPRODUCT(SUMIF(Final!$G$5:$G$331,CashReserveLevy!D14:F14,Final!$E$5:$E$331)),0)</f>
        <v>1759034</v>
      </c>
      <c r="K14" s="18">
        <f t="shared" si="1"/>
        <v>333040</v>
      </c>
      <c r="L14" s="18">
        <f>INDEX(ActualCRLevy_SAS!$A$2:$D$328,MATCH(CashReserveLevy!$C14,ActualCRLevy_SAS!$B$2:$B$328,0),4)</f>
        <v>0</v>
      </c>
      <c r="M14" s="19" t="str">
        <f t="shared" si="2"/>
        <v/>
      </c>
      <c r="N14" s="1" t="str">
        <f t="shared" si="3"/>
        <v>No Levy but have Capacity</v>
      </c>
      <c r="O14" s="1" t="str">
        <f t="shared" si="5"/>
        <v/>
      </c>
    </row>
    <row r="15" spans="1:15" x14ac:dyDescent="0.2">
      <c r="A15" s="17">
        <v>2023</v>
      </c>
      <c r="B15" s="17" t="s">
        <v>0</v>
      </c>
      <c r="C15" s="17" t="s">
        <v>33</v>
      </c>
      <c r="D15" s="17" t="s">
        <v>697</v>
      </c>
      <c r="E15" s="17" t="s">
        <v>697</v>
      </c>
      <c r="F15" s="17" t="s">
        <v>33</v>
      </c>
      <c r="G15" s="17" t="s">
        <v>34</v>
      </c>
      <c r="H15" s="18">
        <f>ROUND(SUMPRODUCT(SUMIF(Final!$G$5:$G$331,CashReserveLevy!D15:F15,Final!$C$5:$C$331)),0)</f>
        <v>59047987</v>
      </c>
      <c r="I15" s="18">
        <f t="shared" si="4"/>
        <v>11809597</v>
      </c>
      <c r="J15" s="18">
        <f>ROUND(SUMPRODUCT(SUMIF(Final!$G$5:$G$331,CashReserveLevy!D15:F15,Final!$E$5:$E$331)),0)</f>
        <v>10314889</v>
      </c>
      <c r="K15" s="18">
        <f t="shared" si="1"/>
        <v>1494708</v>
      </c>
      <c r="L15" s="18">
        <f>INDEX(ActualCRLevy_SAS!$A$2:$D$328,MATCH(CashReserveLevy!$C15,ActualCRLevy_SAS!$B$2:$B$328,0),4)</f>
        <v>1494708</v>
      </c>
      <c r="M15" s="19" t="str">
        <f t="shared" si="2"/>
        <v>Max</v>
      </c>
      <c r="N15" s="1" t="str">
        <f t="shared" si="3"/>
        <v/>
      </c>
      <c r="O15" s="1" t="str">
        <f t="shared" si="5"/>
        <v/>
      </c>
    </row>
    <row r="16" spans="1:15" x14ac:dyDescent="0.2">
      <c r="A16" s="17">
        <v>2023</v>
      </c>
      <c r="B16" s="17" t="s">
        <v>20</v>
      </c>
      <c r="C16" s="17" t="s">
        <v>35</v>
      </c>
      <c r="D16" s="17" t="s">
        <v>697</v>
      </c>
      <c r="E16" s="17" t="s">
        <v>697</v>
      </c>
      <c r="F16" s="17" t="s">
        <v>35</v>
      </c>
      <c r="G16" s="17" t="s">
        <v>36</v>
      </c>
      <c r="H16" s="18">
        <f>ROUND(SUMPRODUCT(SUMIF(Final!$G$5:$G$331,CashReserveLevy!D16:F16,Final!$C$5:$C$331)),0)</f>
        <v>14930001</v>
      </c>
      <c r="I16" s="18">
        <f t="shared" si="4"/>
        <v>2986000</v>
      </c>
      <c r="J16" s="18">
        <f>ROUND(SUMPRODUCT(SUMIF(Final!$G$5:$G$331,CashReserveLevy!D16:F16,Final!$E$5:$E$331)),0)</f>
        <v>3224744</v>
      </c>
      <c r="K16" s="18">
        <f t="shared" si="1"/>
        <v>0</v>
      </c>
      <c r="L16" s="18">
        <f>INDEX(ActualCRLevy_SAS!$A$2:$D$328,MATCH(CashReserveLevy!$C16,ActualCRLevy_SAS!$B$2:$B$328,0),4)</f>
        <v>0</v>
      </c>
      <c r="M16" s="19" t="str">
        <f t="shared" si="2"/>
        <v/>
      </c>
      <c r="N16" s="1" t="str">
        <f t="shared" si="3"/>
        <v/>
      </c>
      <c r="O16" s="1" t="str">
        <f t="shared" si="5"/>
        <v/>
      </c>
    </row>
    <row r="17" spans="1:15" x14ac:dyDescent="0.2">
      <c r="A17" s="17">
        <v>2023</v>
      </c>
      <c r="B17" s="17" t="s">
        <v>37</v>
      </c>
      <c r="C17" s="17" t="s">
        <v>38</v>
      </c>
      <c r="D17" s="17" t="s">
        <v>697</v>
      </c>
      <c r="E17" s="17" t="s">
        <v>697</v>
      </c>
      <c r="F17" s="17" t="s">
        <v>38</v>
      </c>
      <c r="G17" s="17" t="s">
        <v>39</v>
      </c>
      <c r="H17" s="18">
        <f>ROUND(SUMPRODUCT(SUMIF(Final!$G$5:$G$331,CashReserveLevy!D17:F17,Final!$C$5:$C$331)),0)</f>
        <v>3575240</v>
      </c>
      <c r="I17" s="18">
        <f t="shared" si="4"/>
        <v>715048</v>
      </c>
      <c r="J17" s="18">
        <f>ROUND(SUMPRODUCT(SUMIF(Final!$G$5:$G$331,CashReserveLevy!D17:F17,Final!$E$5:$E$331)),0)</f>
        <v>731534</v>
      </c>
      <c r="K17" s="18">
        <f t="shared" si="1"/>
        <v>0</v>
      </c>
      <c r="L17" s="18">
        <f>INDEX(ActualCRLevy_SAS!$A$2:$D$328,MATCH(CashReserveLevy!$C17,ActualCRLevy_SAS!$B$2:$B$328,0),4)</f>
        <v>0</v>
      </c>
      <c r="M17" s="19" t="str">
        <f t="shared" si="2"/>
        <v/>
      </c>
      <c r="N17" s="1" t="str">
        <f t="shared" si="3"/>
        <v/>
      </c>
      <c r="O17" s="1" t="str">
        <f t="shared" si="5"/>
        <v/>
      </c>
    </row>
    <row r="18" spans="1:15" x14ac:dyDescent="0.2">
      <c r="A18" s="17">
        <v>2023</v>
      </c>
      <c r="B18" s="17" t="s">
        <v>0</v>
      </c>
      <c r="C18" s="17" t="s">
        <v>40</v>
      </c>
      <c r="D18" s="17" t="s">
        <v>697</v>
      </c>
      <c r="E18" s="17" t="s">
        <v>697</v>
      </c>
      <c r="F18" s="17" t="s">
        <v>40</v>
      </c>
      <c r="G18" s="17" t="s">
        <v>41</v>
      </c>
      <c r="H18" s="18">
        <f>ROUND(SUMPRODUCT(SUMIF(Final!$G$5:$G$331,CashReserveLevy!D18:F18,Final!$C$5:$C$331)),0)</f>
        <v>143698004</v>
      </c>
      <c r="I18" s="18">
        <f t="shared" si="4"/>
        <v>28739601</v>
      </c>
      <c r="J18" s="18">
        <f>ROUND(SUMPRODUCT(SUMIF(Final!$G$5:$G$331,CashReserveLevy!D18:F18,Final!$E$5:$E$331)),0)</f>
        <v>17721958</v>
      </c>
      <c r="K18" s="18">
        <f t="shared" si="1"/>
        <v>11017643</v>
      </c>
      <c r="L18" s="18">
        <f>INDEX(ActualCRLevy_SAS!$A$2:$D$328,MATCH(CashReserveLevy!$C18,ActualCRLevy_SAS!$B$2:$B$328,0),4)</f>
        <v>11017643</v>
      </c>
      <c r="M18" s="19" t="str">
        <f t="shared" si="2"/>
        <v>Max</v>
      </c>
      <c r="N18" s="1" t="str">
        <f t="shared" si="3"/>
        <v/>
      </c>
      <c r="O18" s="1" t="str">
        <f t="shared" si="5"/>
        <v/>
      </c>
    </row>
    <row r="19" spans="1:15" x14ac:dyDescent="0.2">
      <c r="A19" s="17">
        <v>2023</v>
      </c>
      <c r="B19" s="17" t="s">
        <v>5</v>
      </c>
      <c r="C19" s="17" t="s">
        <v>42</v>
      </c>
      <c r="D19" s="17" t="s">
        <v>697</v>
      </c>
      <c r="E19" s="17" t="s">
        <v>697</v>
      </c>
      <c r="F19" s="17" t="s">
        <v>42</v>
      </c>
      <c r="G19" s="17" t="s">
        <v>43</v>
      </c>
      <c r="H19" s="18">
        <f>ROUND(SUMPRODUCT(SUMIF(Final!$G$5:$G$331,CashReserveLevy!D19:F19,Final!$C$5:$C$331)),0)</f>
        <v>9776769</v>
      </c>
      <c r="I19" s="18">
        <f t="shared" si="4"/>
        <v>1955354</v>
      </c>
      <c r="J19" s="18">
        <f>ROUND(SUMPRODUCT(SUMIF(Final!$G$5:$G$331,CashReserveLevy!D19:F19,Final!$E$5:$E$331)),0)</f>
        <v>2154884</v>
      </c>
      <c r="K19" s="18">
        <f t="shared" si="1"/>
        <v>0</v>
      </c>
      <c r="L19" s="18">
        <f>INDEX(ActualCRLevy_SAS!$A$2:$D$328,MATCH(CashReserveLevy!$C19,ActualCRLevy_SAS!$B$2:$B$328,0),4)</f>
        <v>0</v>
      </c>
      <c r="M19" s="19" t="str">
        <f t="shared" si="2"/>
        <v/>
      </c>
      <c r="N19" s="1" t="str">
        <f t="shared" si="3"/>
        <v/>
      </c>
      <c r="O19" s="1" t="str">
        <f t="shared" si="5"/>
        <v/>
      </c>
    </row>
    <row r="20" spans="1:15" x14ac:dyDescent="0.2">
      <c r="A20" s="17">
        <v>2023</v>
      </c>
      <c r="B20" s="17" t="s">
        <v>11</v>
      </c>
      <c r="C20" s="17" t="s">
        <v>44</v>
      </c>
      <c r="D20" s="17" t="s">
        <v>697</v>
      </c>
      <c r="E20" s="17" t="s">
        <v>697</v>
      </c>
      <c r="F20" s="17" t="s">
        <v>44</v>
      </c>
      <c r="G20" s="17" t="s">
        <v>45</v>
      </c>
      <c r="H20" s="18">
        <f>ROUND(SUMPRODUCT(SUMIF(Final!$G$5:$G$331,CashReserveLevy!D20:F20,Final!$C$5:$C$331)),0)</f>
        <v>3397661</v>
      </c>
      <c r="I20" s="18">
        <f t="shared" si="4"/>
        <v>679532</v>
      </c>
      <c r="J20" s="18">
        <f>ROUND(SUMPRODUCT(SUMIF(Final!$G$5:$G$331,CashReserveLevy!D20:F20,Final!$E$5:$E$331)),0)</f>
        <v>1564939</v>
      </c>
      <c r="K20" s="18">
        <f t="shared" si="1"/>
        <v>0</v>
      </c>
      <c r="L20" s="18">
        <f>INDEX(ActualCRLevy_SAS!$A$2:$D$328,MATCH(CashReserveLevy!$C20,ActualCRLevy_SAS!$B$2:$B$328,0),4)</f>
        <v>0</v>
      </c>
      <c r="M20" s="19" t="str">
        <f t="shared" si="2"/>
        <v/>
      </c>
      <c r="N20" s="1" t="str">
        <f t="shared" si="3"/>
        <v/>
      </c>
      <c r="O20" s="1" t="str">
        <f t="shared" si="5"/>
        <v/>
      </c>
    </row>
    <row r="21" spans="1:15" x14ac:dyDescent="0.2">
      <c r="A21" s="17">
        <v>2023</v>
      </c>
      <c r="B21" s="17" t="s">
        <v>8</v>
      </c>
      <c r="C21" s="17" t="s">
        <v>46</v>
      </c>
      <c r="D21" s="17" t="s">
        <v>697</v>
      </c>
      <c r="E21" s="17" t="s">
        <v>697</v>
      </c>
      <c r="F21" s="17" t="s">
        <v>46</v>
      </c>
      <c r="G21" s="17" t="s">
        <v>47</v>
      </c>
      <c r="H21" s="18">
        <f>ROUND(SUMPRODUCT(SUMIF(Final!$G$5:$G$331,CashReserveLevy!D21:F21,Final!$C$5:$C$331)),0)</f>
        <v>17148650</v>
      </c>
      <c r="I21" s="18">
        <f t="shared" si="4"/>
        <v>3429730</v>
      </c>
      <c r="J21" s="18">
        <f>ROUND(SUMPRODUCT(SUMIF(Final!$G$5:$G$331,CashReserveLevy!D21:F21,Final!$E$5:$E$331)),0)</f>
        <v>3328656</v>
      </c>
      <c r="K21" s="18">
        <f t="shared" si="1"/>
        <v>101074</v>
      </c>
      <c r="L21" s="18">
        <f>INDEX(ActualCRLevy_SAS!$A$2:$D$328,MATCH(CashReserveLevy!$C21,ActualCRLevy_SAS!$B$2:$B$328,0),4)</f>
        <v>0</v>
      </c>
      <c r="M21" s="19" t="str">
        <f t="shared" si="2"/>
        <v/>
      </c>
      <c r="N21" s="1" t="str">
        <f t="shared" si="3"/>
        <v>No Levy but have Capacity</v>
      </c>
      <c r="O21" s="1" t="str">
        <f t="shared" si="5"/>
        <v/>
      </c>
    </row>
    <row r="22" spans="1:15" x14ac:dyDescent="0.2">
      <c r="A22" s="17">
        <v>2023</v>
      </c>
      <c r="B22" s="17" t="s">
        <v>0</v>
      </c>
      <c r="C22" s="17" t="s">
        <v>48</v>
      </c>
      <c r="D22" s="17" t="s">
        <v>697</v>
      </c>
      <c r="E22" s="17" t="s">
        <v>697</v>
      </c>
      <c r="F22" s="17" t="s">
        <v>48</v>
      </c>
      <c r="G22" s="17" t="s">
        <v>49</v>
      </c>
      <c r="H22" s="18">
        <f>ROUND(SUMPRODUCT(SUMIF(Final!$G$5:$G$331,CashReserveLevy!D22:F22,Final!$C$5:$C$331)),0)</f>
        <v>7124529</v>
      </c>
      <c r="I22" s="18">
        <f t="shared" si="4"/>
        <v>1424906</v>
      </c>
      <c r="J22" s="18">
        <f>ROUND(SUMPRODUCT(SUMIF(Final!$G$5:$G$331,CashReserveLevy!D22:F22,Final!$E$5:$E$331)),0)</f>
        <v>1249513</v>
      </c>
      <c r="K22" s="18">
        <f t="shared" si="1"/>
        <v>175393</v>
      </c>
      <c r="L22" s="18">
        <f>INDEX(ActualCRLevy_SAS!$A$2:$D$328,MATCH(CashReserveLevy!$C22,ActualCRLevy_SAS!$B$2:$B$328,0),4)</f>
        <v>175393</v>
      </c>
      <c r="M22" s="19" t="str">
        <f t="shared" si="2"/>
        <v>Max</v>
      </c>
      <c r="N22" s="1" t="str">
        <f t="shared" si="3"/>
        <v/>
      </c>
      <c r="O22" s="1" t="str">
        <f t="shared" si="5"/>
        <v/>
      </c>
    </row>
    <row r="23" spans="1:15" x14ac:dyDescent="0.2">
      <c r="A23" s="17">
        <v>2023</v>
      </c>
      <c r="B23" s="17" t="s">
        <v>0</v>
      </c>
      <c r="C23" s="17" t="s">
        <v>50</v>
      </c>
      <c r="D23" s="17" t="s">
        <v>697</v>
      </c>
      <c r="E23" s="17" t="s">
        <v>697</v>
      </c>
      <c r="F23" s="17" t="s">
        <v>50</v>
      </c>
      <c r="G23" s="17" t="s">
        <v>51</v>
      </c>
      <c r="H23" s="18">
        <f>ROUND(SUMPRODUCT(SUMIF(Final!$G$5:$G$331,CashReserveLevy!D23:F23,Final!$C$5:$C$331)),0)</f>
        <v>19520158</v>
      </c>
      <c r="I23" s="18">
        <f t="shared" si="4"/>
        <v>3904032</v>
      </c>
      <c r="J23" s="18">
        <f>ROUND(SUMPRODUCT(SUMIF(Final!$G$5:$G$331,CashReserveLevy!D23:F23,Final!$E$5:$E$331)),0)</f>
        <v>3148829</v>
      </c>
      <c r="K23" s="18">
        <f t="shared" si="1"/>
        <v>755203</v>
      </c>
      <c r="L23" s="18">
        <f>INDEX(ActualCRLevy_SAS!$A$2:$D$328,MATCH(CashReserveLevy!$C23,ActualCRLevy_SAS!$B$2:$B$328,0),4)</f>
        <v>755203</v>
      </c>
      <c r="M23" s="19" t="str">
        <f t="shared" si="2"/>
        <v>Max</v>
      </c>
      <c r="N23" s="1" t="str">
        <f t="shared" si="3"/>
        <v/>
      </c>
      <c r="O23" s="1" t="str">
        <f t="shared" si="5"/>
        <v/>
      </c>
    </row>
    <row r="24" spans="1:15" x14ac:dyDescent="0.2">
      <c r="A24" s="17">
        <v>2023</v>
      </c>
      <c r="B24" s="17" t="s">
        <v>0</v>
      </c>
      <c r="C24" s="17" t="s">
        <v>52</v>
      </c>
      <c r="D24" s="17" t="s">
        <v>697</v>
      </c>
      <c r="E24" s="17" t="s">
        <v>697</v>
      </c>
      <c r="F24" s="17" t="s">
        <v>52</v>
      </c>
      <c r="G24" s="17" t="s">
        <v>53</v>
      </c>
      <c r="H24" s="18">
        <f>ROUND(SUMPRODUCT(SUMIF(Final!$G$5:$G$331,CashReserveLevy!D24:F24,Final!$C$5:$C$331)),0)</f>
        <v>5436928</v>
      </c>
      <c r="I24" s="18">
        <f t="shared" si="4"/>
        <v>1087386</v>
      </c>
      <c r="J24" s="18">
        <f>ROUND(SUMPRODUCT(SUMIF(Final!$G$5:$G$331,CashReserveLevy!D24:F24,Final!$E$5:$E$331)),0)</f>
        <v>403870</v>
      </c>
      <c r="K24" s="18">
        <f t="shared" si="1"/>
        <v>683516</v>
      </c>
      <c r="L24" s="18">
        <f>INDEX(ActualCRLevy_SAS!$A$2:$D$328,MATCH(CashReserveLevy!$C24,ActualCRLevy_SAS!$B$2:$B$328,0),4)</f>
        <v>432352</v>
      </c>
      <c r="M24" s="19" t="str">
        <f t="shared" si="2"/>
        <v/>
      </c>
      <c r="N24" s="1" t="str">
        <f t="shared" si="3"/>
        <v/>
      </c>
      <c r="O24" s="1" t="str">
        <f t="shared" si="5"/>
        <v/>
      </c>
    </row>
    <row r="25" spans="1:15" x14ac:dyDescent="0.2">
      <c r="A25" s="17">
        <v>2023</v>
      </c>
      <c r="B25" s="17" t="s">
        <v>5</v>
      </c>
      <c r="C25" s="17" t="s">
        <v>54</v>
      </c>
      <c r="D25" s="17" t="s">
        <v>697</v>
      </c>
      <c r="E25" s="17" t="s">
        <v>697</v>
      </c>
      <c r="F25" s="17" t="s">
        <v>54</v>
      </c>
      <c r="G25" s="17" t="s">
        <v>55</v>
      </c>
      <c r="H25" s="18">
        <f>ROUND(SUMPRODUCT(SUMIF(Final!$G$5:$G$331,CashReserveLevy!D25:F25,Final!$C$5:$C$331)),0)</f>
        <v>7130020</v>
      </c>
      <c r="I25" s="18">
        <f t="shared" si="4"/>
        <v>1426004</v>
      </c>
      <c r="J25" s="18">
        <f>ROUND(SUMPRODUCT(SUMIF(Final!$G$5:$G$331,CashReserveLevy!D25:F25,Final!$E$5:$E$331)),0)</f>
        <v>2084182</v>
      </c>
      <c r="K25" s="18">
        <f t="shared" si="1"/>
        <v>0</v>
      </c>
      <c r="L25" s="18">
        <f>INDEX(ActualCRLevy_SAS!$A$2:$D$328,MATCH(CashReserveLevy!$C25,ActualCRLevy_SAS!$B$2:$B$328,0),4)</f>
        <v>0</v>
      </c>
      <c r="M25" s="19" t="str">
        <f t="shared" si="2"/>
        <v/>
      </c>
      <c r="N25" s="1" t="str">
        <f t="shared" si="3"/>
        <v/>
      </c>
      <c r="O25" s="1" t="str">
        <f t="shared" si="5"/>
        <v/>
      </c>
    </row>
    <row r="26" spans="1:15" x14ac:dyDescent="0.2">
      <c r="A26" s="17">
        <v>2023</v>
      </c>
      <c r="B26" s="17" t="s">
        <v>8</v>
      </c>
      <c r="C26" s="17" t="s">
        <v>56</v>
      </c>
      <c r="D26" s="17" t="s">
        <v>697</v>
      </c>
      <c r="E26" s="17" t="s">
        <v>697</v>
      </c>
      <c r="F26" s="17" t="s">
        <v>56</v>
      </c>
      <c r="G26" s="17" t="s">
        <v>57</v>
      </c>
      <c r="H26" s="18">
        <f>ROUND(SUMPRODUCT(SUMIF(Final!$G$5:$G$331,CashReserveLevy!D26:F26,Final!$C$5:$C$331)),0)</f>
        <v>6707144</v>
      </c>
      <c r="I26" s="18">
        <f t="shared" si="4"/>
        <v>1341429</v>
      </c>
      <c r="J26" s="18">
        <f>ROUND(SUMPRODUCT(SUMIF(Final!$G$5:$G$331,CashReserveLevy!D26:F26,Final!$E$5:$E$331)),0)</f>
        <v>878558</v>
      </c>
      <c r="K26" s="18">
        <f t="shared" si="1"/>
        <v>462871</v>
      </c>
      <c r="L26" s="18">
        <f>INDEX(ActualCRLevy_SAS!$A$2:$D$328,MATCH(CashReserveLevy!$C26,ActualCRLevy_SAS!$B$2:$B$328,0),4)</f>
        <v>277603</v>
      </c>
      <c r="M26" s="19" t="str">
        <f t="shared" si="2"/>
        <v/>
      </c>
      <c r="N26" s="1" t="str">
        <f t="shared" si="3"/>
        <v/>
      </c>
      <c r="O26" s="1" t="str">
        <f t="shared" si="5"/>
        <v/>
      </c>
    </row>
    <row r="27" spans="1:15" x14ac:dyDescent="0.2">
      <c r="A27" s="17">
        <v>2023</v>
      </c>
      <c r="B27" s="17" t="s">
        <v>20</v>
      </c>
      <c r="C27" s="17" t="s">
        <v>58</v>
      </c>
      <c r="D27" s="17" t="s">
        <v>697</v>
      </c>
      <c r="E27" s="17" t="s">
        <v>697</v>
      </c>
      <c r="F27" s="17" t="s">
        <v>58</v>
      </c>
      <c r="G27" s="17" t="s">
        <v>59</v>
      </c>
      <c r="H27" s="18">
        <f>ROUND(SUMPRODUCT(SUMIF(Final!$G$5:$G$331,CashReserveLevy!D27:F27,Final!$C$5:$C$331)),0)</f>
        <v>5918342</v>
      </c>
      <c r="I27" s="18">
        <f t="shared" si="4"/>
        <v>1183668</v>
      </c>
      <c r="J27" s="18">
        <f>ROUND(SUMPRODUCT(SUMIF(Final!$G$5:$G$331,CashReserveLevy!D27:F27,Final!$E$5:$E$331)),0)</f>
        <v>2741874</v>
      </c>
      <c r="K27" s="18">
        <f t="shared" si="1"/>
        <v>0</v>
      </c>
      <c r="L27" s="18">
        <f>INDEX(ActualCRLevy_SAS!$A$2:$D$328,MATCH(CashReserveLevy!$C27,ActualCRLevy_SAS!$B$2:$B$328,0),4)</f>
        <v>0</v>
      </c>
      <c r="M27" s="19" t="str">
        <f t="shared" si="2"/>
        <v/>
      </c>
      <c r="N27" s="1" t="str">
        <f t="shared" si="3"/>
        <v/>
      </c>
      <c r="O27" s="1" t="str">
        <f t="shared" si="5"/>
        <v/>
      </c>
    </row>
    <row r="28" spans="1:15" x14ac:dyDescent="0.2">
      <c r="A28" s="17">
        <v>2023</v>
      </c>
      <c r="B28" s="17" t="s">
        <v>37</v>
      </c>
      <c r="C28" s="17" t="s">
        <v>60</v>
      </c>
      <c r="D28" s="17" t="s">
        <v>697</v>
      </c>
      <c r="E28" s="17" t="s">
        <v>697</v>
      </c>
      <c r="F28" s="17" t="s">
        <v>60</v>
      </c>
      <c r="G28" s="17" t="s">
        <v>61</v>
      </c>
      <c r="H28" s="18">
        <f>ROUND(SUMPRODUCT(SUMIF(Final!$G$5:$G$331,CashReserveLevy!D28:F28,Final!$C$5:$C$331)),0)</f>
        <v>7800174</v>
      </c>
      <c r="I28" s="18">
        <f t="shared" si="4"/>
        <v>1560035</v>
      </c>
      <c r="J28" s="18">
        <f>ROUND(SUMPRODUCT(SUMIF(Final!$G$5:$G$331,CashReserveLevy!D28:F28,Final!$E$5:$E$331)),0)</f>
        <v>2248094</v>
      </c>
      <c r="K28" s="18">
        <f t="shared" si="1"/>
        <v>0</v>
      </c>
      <c r="L28" s="18">
        <f>INDEX(ActualCRLevy_SAS!$A$2:$D$328,MATCH(CashReserveLevy!$C28,ActualCRLevy_SAS!$B$2:$B$328,0),4)</f>
        <v>0</v>
      </c>
      <c r="M28" s="19" t="str">
        <f t="shared" si="2"/>
        <v/>
      </c>
      <c r="N28" s="1" t="str">
        <f t="shared" si="3"/>
        <v/>
      </c>
      <c r="O28" s="1" t="str">
        <f t="shared" si="5"/>
        <v/>
      </c>
    </row>
    <row r="29" spans="1:15" x14ac:dyDescent="0.2">
      <c r="A29" s="17">
        <v>2023</v>
      </c>
      <c r="B29" s="17" t="s">
        <v>5</v>
      </c>
      <c r="C29" s="17" t="s">
        <v>62</v>
      </c>
      <c r="D29" s="17" t="s">
        <v>697</v>
      </c>
      <c r="E29" s="17" t="s">
        <v>697</v>
      </c>
      <c r="F29" s="17" t="s">
        <v>62</v>
      </c>
      <c r="G29" s="17" t="s">
        <v>63</v>
      </c>
      <c r="H29" s="18">
        <f>ROUND(SUMPRODUCT(SUMIF(Final!$G$5:$G$331,CashReserveLevy!D29:F29,Final!$C$5:$C$331)),0)</f>
        <v>10539849</v>
      </c>
      <c r="I29" s="18">
        <f t="shared" si="4"/>
        <v>2107970</v>
      </c>
      <c r="J29" s="18">
        <f>ROUND(SUMPRODUCT(SUMIF(Final!$G$5:$G$331,CashReserveLevy!D29:F29,Final!$E$5:$E$331)),0)</f>
        <v>1733326</v>
      </c>
      <c r="K29" s="18">
        <f t="shared" si="1"/>
        <v>374644</v>
      </c>
      <c r="L29" s="18">
        <f>INDEX(ActualCRLevy_SAS!$A$2:$D$328,MATCH(CashReserveLevy!$C29,ActualCRLevy_SAS!$B$2:$B$328,0),4)</f>
        <v>373808</v>
      </c>
      <c r="M29" s="19" t="str">
        <f t="shared" si="2"/>
        <v/>
      </c>
      <c r="N29" s="1" t="str">
        <f t="shared" si="3"/>
        <v/>
      </c>
      <c r="O29" s="1" t="str">
        <f t="shared" si="5"/>
        <v/>
      </c>
    </row>
    <row r="30" spans="1:15" x14ac:dyDescent="0.2">
      <c r="A30" s="17">
        <v>2023</v>
      </c>
      <c r="B30" s="17" t="s">
        <v>37</v>
      </c>
      <c r="C30" s="17" t="s">
        <v>64</v>
      </c>
      <c r="D30" s="17" t="s">
        <v>697</v>
      </c>
      <c r="E30" s="17" t="s">
        <v>697</v>
      </c>
      <c r="F30" s="17" t="s">
        <v>64</v>
      </c>
      <c r="G30" s="17" t="s">
        <v>65</v>
      </c>
      <c r="H30" s="18">
        <f>ROUND(SUMPRODUCT(SUMIF(Final!$G$5:$G$331,CashReserveLevy!D30:F30,Final!$C$5:$C$331)),0)</f>
        <v>2363108</v>
      </c>
      <c r="I30" s="18">
        <f t="shared" si="4"/>
        <v>472622</v>
      </c>
      <c r="J30" s="18">
        <f>ROUND(SUMPRODUCT(SUMIF(Final!$G$5:$G$331,CashReserveLevy!D30:F30,Final!$E$5:$E$331)),0)</f>
        <v>779913</v>
      </c>
      <c r="K30" s="18">
        <f t="shared" si="1"/>
        <v>0</v>
      </c>
      <c r="L30" s="18">
        <f>INDEX(ActualCRLevy_SAS!$A$2:$D$328,MATCH(CashReserveLevy!$C30,ActualCRLevy_SAS!$B$2:$B$328,0),4)</f>
        <v>0</v>
      </c>
      <c r="M30" s="19" t="str">
        <f t="shared" si="2"/>
        <v/>
      </c>
      <c r="N30" s="1" t="str">
        <f t="shared" si="3"/>
        <v/>
      </c>
      <c r="O30" s="1" t="str">
        <f t="shared" si="5"/>
        <v/>
      </c>
    </row>
    <row r="31" spans="1:15" x14ac:dyDescent="0.2">
      <c r="A31" s="17">
        <v>2023</v>
      </c>
      <c r="B31" s="17" t="s">
        <v>20</v>
      </c>
      <c r="C31" s="17" t="s">
        <v>66</v>
      </c>
      <c r="D31" s="17" t="s">
        <v>697</v>
      </c>
      <c r="E31" s="17" t="s">
        <v>697</v>
      </c>
      <c r="F31" s="17" t="s">
        <v>66</v>
      </c>
      <c r="G31" s="17" t="s">
        <v>67</v>
      </c>
      <c r="H31" s="18">
        <f>ROUND(SUMPRODUCT(SUMIF(Final!$G$5:$G$331,CashReserveLevy!D31:F31,Final!$C$5:$C$331)),0)</f>
        <v>18124647</v>
      </c>
      <c r="I31" s="18">
        <f t="shared" si="4"/>
        <v>3624929</v>
      </c>
      <c r="J31" s="18">
        <f>ROUND(SUMPRODUCT(SUMIF(Final!$G$5:$G$331,CashReserveLevy!D31:F31,Final!$E$5:$E$331)),0)</f>
        <v>4349197</v>
      </c>
      <c r="K31" s="18">
        <f t="shared" si="1"/>
        <v>0</v>
      </c>
      <c r="L31" s="18">
        <f>INDEX(ActualCRLevy_SAS!$A$2:$D$328,MATCH(CashReserveLevy!$C31,ActualCRLevy_SAS!$B$2:$B$328,0),4)</f>
        <v>0</v>
      </c>
      <c r="M31" s="19" t="str">
        <f t="shared" si="2"/>
        <v/>
      </c>
      <c r="N31" s="1" t="str">
        <f t="shared" si="3"/>
        <v/>
      </c>
      <c r="O31" s="1" t="str">
        <f t="shared" si="5"/>
        <v/>
      </c>
    </row>
    <row r="32" spans="1:15" x14ac:dyDescent="0.2">
      <c r="A32" s="17">
        <v>2023</v>
      </c>
      <c r="B32" s="17" t="s">
        <v>37</v>
      </c>
      <c r="C32" s="17" t="s">
        <v>68</v>
      </c>
      <c r="D32" s="17" t="s">
        <v>697</v>
      </c>
      <c r="E32" s="17" t="s">
        <v>697</v>
      </c>
      <c r="F32" s="17" t="s">
        <v>68</v>
      </c>
      <c r="G32" s="17" t="s">
        <v>69</v>
      </c>
      <c r="H32" s="18">
        <f>ROUND(SUMPRODUCT(SUMIF(Final!$G$5:$G$331,CashReserveLevy!D32:F32,Final!$C$5:$C$331)),0)</f>
        <v>52973351</v>
      </c>
      <c r="I32" s="18">
        <f t="shared" si="4"/>
        <v>10594670</v>
      </c>
      <c r="J32" s="18">
        <f>ROUND(SUMPRODUCT(SUMIF(Final!$G$5:$G$331,CashReserveLevy!D32:F32,Final!$E$5:$E$331)),0)</f>
        <v>10887335</v>
      </c>
      <c r="K32" s="18">
        <f t="shared" si="1"/>
        <v>0</v>
      </c>
      <c r="L32" s="18">
        <f>INDEX(ActualCRLevy_SAS!$A$2:$D$328,MATCH(CashReserveLevy!$C32,ActualCRLevy_SAS!$B$2:$B$328,0),4)</f>
        <v>0</v>
      </c>
      <c r="M32" s="19" t="str">
        <f t="shared" si="2"/>
        <v/>
      </c>
      <c r="N32" s="1" t="str">
        <f t="shared" si="3"/>
        <v/>
      </c>
      <c r="O32" s="1" t="str">
        <f t="shared" si="5"/>
        <v/>
      </c>
    </row>
    <row r="33" spans="1:15" x14ac:dyDescent="0.2">
      <c r="A33" s="17">
        <v>2023</v>
      </c>
      <c r="B33" s="17" t="s">
        <v>0</v>
      </c>
      <c r="C33" s="17" t="s">
        <v>70</v>
      </c>
      <c r="D33" s="17" t="s">
        <v>697</v>
      </c>
      <c r="E33" s="17" t="s">
        <v>697</v>
      </c>
      <c r="F33" s="17" t="s">
        <v>70</v>
      </c>
      <c r="G33" s="17" t="s">
        <v>71</v>
      </c>
      <c r="H33" s="18">
        <f>ROUND(SUMPRODUCT(SUMIF(Final!$G$5:$G$331,CashReserveLevy!D33:F33,Final!$C$5:$C$331)),0)</f>
        <v>25245314</v>
      </c>
      <c r="I33" s="18">
        <f t="shared" si="4"/>
        <v>5049063</v>
      </c>
      <c r="J33" s="18">
        <f>ROUND(SUMPRODUCT(SUMIF(Final!$G$5:$G$331,CashReserveLevy!D33:F33,Final!$E$5:$E$331)),0)</f>
        <v>5972123</v>
      </c>
      <c r="K33" s="18">
        <f t="shared" si="1"/>
        <v>0</v>
      </c>
      <c r="L33" s="18">
        <f>INDEX(ActualCRLevy_SAS!$A$2:$D$328,MATCH(CashReserveLevy!$C33,ActualCRLevy_SAS!$B$2:$B$328,0),4)</f>
        <v>0</v>
      </c>
      <c r="M33" s="19" t="str">
        <f t="shared" si="2"/>
        <v/>
      </c>
      <c r="N33" s="1" t="str">
        <f t="shared" si="3"/>
        <v/>
      </c>
      <c r="O33" s="1" t="str">
        <f t="shared" si="5"/>
        <v/>
      </c>
    </row>
    <row r="34" spans="1:15" x14ac:dyDescent="0.2">
      <c r="A34" s="17">
        <v>2023</v>
      </c>
      <c r="B34" s="17" t="s">
        <v>0</v>
      </c>
      <c r="C34" s="17" t="s">
        <v>72</v>
      </c>
      <c r="D34" s="17" t="s">
        <v>697</v>
      </c>
      <c r="E34" s="17" t="s">
        <v>697</v>
      </c>
      <c r="F34" s="17" t="s">
        <v>72</v>
      </c>
      <c r="G34" s="17" t="s">
        <v>73</v>
      </c>
      <c r="H34" s="18">
        <f>ROUND(SUMPRODUCT(SUMIF(Final!$G$5:$G$331,CashReserveLevy!D34:F34,Final!$C$5:$C$331)),0)</f>
        <v>26151359</v>
      </c>
      <c r="I34" s="18">
        <f t="shared" si="4"/>
        <v>5230272</v>
      </c>
      <c r="J34" s="18">
        <f>ROUND(SUMPRODUCT(SUMIF(Final!$G$5:$G$331,CashReserveLevy!D34:F34,Final!$E$5:$E$331)),0)</f>
        <v>5690147</v>
      </c>
      <c r="K34" s="18">
        <f t="shared" si="1"/>
        <v>0</v>
      </c>
      <c r="L34" s="18">
        <f>INDEX(ActualCRLevy_SAS!$A$2:$D$328,MATCH(CashReserveLevy!$C34,ActualCRLevy_SAS!$B$2:$B$328,0),4)</f>
        <v>0</v>
      </c>
      <c r="M34" s="19" t="str">
        <f t="shared" si="2"/>
        <v/>
      </c>
      <c r="N34" s="1" t="str">
        <f t="shared" si="3"/>
        <v/>
      </c>
      <c r="O34" s="1" t="str">
        <f t="shared" si="5"/>
        <v/>
      </c>
    </row>
    <row r="35" spans="1:15" x14ac:dyDescent="0.2">
      <c r="A35" s="17">
        <v>2023</v>
      </c>
      <c r="B35" s="17" t="s">
        <v>11</v>
      </c>
      <c r="C35" s="17" t="s">
        <v>74</v>
      </c>
      <c r="D35" s="17" t="s">
        <v>697</v>
      </c>
      <c r="E35" s="17" t="s">
        <v>697</v>
      </c>
      <c r="F35" s="17" t="s">
        <v>74</v>
      </c>
      <c r="G35" s="17" t="s">
        <v>75</v>
      </c>
      <c r="H35" s="18">
        <f>ROUND(SUMPRODUCT(SUMIF(Final!$G$5:$G$331,CashReserveLevy!D35:F35,Final!$C$5:$C$331)),0)</f>
        <v>7991155</v>
      </c>
      <c r="I35" s="18">
        <f t="shared" si="4"/>
        <v>1598231</v>
      </c>
      <c r="J35" s="18">
        <f>ROUND(SUMPRODUCT(SUMIF(Final!$G$5:$G$331,CashReserveLevy!D35:F35,Final!$E$5:$E$331)),0)</f>
        <v>654801</v>
      </c>
      <c r="K35" s="18">
        <f t="shared" si="1"/>
        <v>943430</v>
      </c>
      <c r="L35" s="18">
        <f>INDEX(ActualCRLevy_SAS!$A$2:$D$328,MATCH(CashReserveLevy!$C35,ActualCRLevy_SAS!$B$2:$B$328,0),4)</f>
        <v>445000</v>
      </c>
      <c r="M35" s="19" t="str">
        <f t="shared" si="2"/>
        <v/>
      </c>
      <c r="N35" s="1" t="str">
        <f t="shared" si="3"/>
        <v/>
      </c>
      <c r="O35" s="1" t="str">
        <f t="shared" si="5"/>
        <v/>
      </c>
    </row>
    <row r="36" spans="1:15" x14ac:dyDescent="0.2">
      <c r="A36" s="17">
        <v>2023</v>
      </c>
      <c r="B36" s="17" t="s">
        <v>8</v>
      </c>
      <c r="C36" s="17" t="s">
        <v>76</v>
      </c>
      <c r="D36" s="17" t="s">
        <v>697</v>
      </c>
      <c r="E36" s="17" t="s">
        <v>697</v>
      </c>
      <c r="F36" s="17" t="s">
        <v>76</v>
      </c>
      <c r="G36" s="17" t="s">
        <v>77</v>
      </c>
      <c r="H36" s="18">
        <f>ROUND(SUMPRODUCT(SUMIF(Final!$G$5:$G$331,CashReserveLevy!D36:F36,Final!$C$5:$C$331)),0)</f>
        <v>5245844</v>
      </c>
      <c r="I36" s="18">
        <f t="shared" si="4"/>
        <v>1049169</v>
      </c>
      <c r="J36" s="18">
        <f>ROUND(SUMPRODUCT(SUMIF(Final!$G$5:$G$331,CashReserveLevy!D36:F36,Final!$E$5:$E$331)),0)</f>
        <v>1930607</v>
      </c>
      <c r="K36" s="18">
        <f t="shared" si="1"/>
        <v>0</v>
      </c>
      <c r="L36" s="18">
        <f>INDEX(ActualCRLevy_SAS!$A$2:$D$328,MATCH(CashReserveLevy!$C36,ActualCRLevy_SAS!$B$2:$B$328,0),4)</f>
        <v>0</v>
      </c>
      <c r="M36" s="19" t="str">
        <f t="shared" si="2"/>
        <v/>
      </c>
      <c r="N36" s="1" t="str">
        <f t="shared" si="3"/>
        <v/>
      </c>
      <c r="O36" s="1" t="str">
        <f t="shared" si="5"/>
        <v/>
      </c>
    </row>
    <row r="37" spans="1:15" x14ac:dyDescent="0.2">
      <c r="A37" s="17">
        <v>2023</v>
      </c>
      <c r="B37" s="17" t="s">
        <v>5</v>
      </c>
      <c r="C37" s="17" t="s">
        <v>78</v>
      </c>
      <c r="D37" s="17" t="s">
        <v>697</v>
      </c>
      <c r="E37" s="17" t="s">
        <v>697</v>
      </c>
      <c r="F37" s="17" t="s">
        <v>78</v>
      </c>
      <c r="G37" s="17" t="s">
        <v>79</v>
      </c>
      <c r="H37" s="18">
        <f>ROUND(SUMPRODUCT(SUMIF(Final!$G$5:$G$331,CashReserveLevy!D37:F37,Final!$C$5:$C$331)),0)</f>
        <v>6718272</v>
      </c>
      <c r="I37" s="18">
        <f t="shared" si="4"/>
        <v>1343654</v>
      </c>
      <c r="J37" s="18">
        <f>ROUND(SUMPRODUCT(SUMIF(Final!$G$5:$G$331,CashReserveLevy!D37:F37,Final!$E$5:$E$331)),0)</f>
        <v>1303167</v>
      </c>
      <c r="K37" s="18">
        <f t="shared" si="1"/>
        <v>40487</v>
      </c>
      <c r="L37" s="18">
        <f>INDEX(ActualCRLevy_SAS!$A$2:$D$328,MATCH(CashReserveLevy!$C37,ActualCRLevy_SAS!$B$2:$B$328,0),4)</f>
        <v>14076</v>
      </c>
      <c r="M37" s="19" t="str">
        <f t="shared" si="2"/>
        <v/>
      </c>
      <c r="N37" s="1" t="str">
        <f t="shared" si="3"/>
        <v/>
      </c>
      <c r="O37" s="1" t="str">
        <f t="shared" si="5"/>
        <v/>
      </c>
    </row>
    <row r="38" spans="1:15" x14ac:dyDescent="0.2">
      <c r="A38" s="17">
        <v>2023</v>
      </c>
      <c r="B38" s="17" t="s">
        <v>17</v>
      </c>
      <c r="C38" s="17" t="s">
        <v>80</v>
      </c>
      <c r="D38" s="17" t="s">
        <v>697</v>
      </c>
      <c r="E38" s="17" t="s">
        <v>697</v>
      </c>
      <c r="F38" s="17" t="s">
        <v>80</v>
      </c>
      <c r="G38" s="17" t="s">
        <v>81</v>
      </c>
      <c r="H38" s="18">
        <f>ROUND(SUMPRODUCT(SUMIF(Final!$G$5:$G$331,CashReserveLevy!D38:F38,Final!$C$5:$C$331)),0)</f>
        <v>51243535</v>
      </c>
      <c r="I38" s="18">
        <f t="shared" si="4"/>
        <v>10248707</v>
      </c>
      <c r="J38" s="18">
        <f>ROUND(SUMPRODUCT(SUMIF(Final!$G$5:$G$331,CashReserveLevy!D38:F38,Final!$E$5:$E$331)),0)</f>
        <v>12614018</v>
      </c>
      <c r="K38" s="18">
        <f t="shared" si="1"/>
        <v>0</v>
      </c>
      <c r="L38" s="18">
        <f>INDEX(ActualCRLevy_SAS!$A$2:$D$328,MATCH(CashReserveLevy!$C38,ActualCRLevy_SAS!$B$2:$B$328,0),4)</f>
        <v>0</v>
      </c>
      <c r="M38" s="19" t="str">
        <f t="shared" si="2"/>
        <v/>
      </c>
      <c r="N38" s="1" t="str">
        <f t="shared" si="3"/>
        <v/>
      </c>
      <c r="O38" s="1" t="str">
        <f t="shared" si="5"/>
        <v/>
      </c>
    </row>
    <row r="39" spans="1:15" x14ac:dyDescent="0.2">
      <c r="A39" s="17">
        <v>2023</v>
      </c>
      <c r="B39" s="17" t="s">
        <v>5</v>
      </c>
      <c r="C39" s="17" t="s">
        <v>82</v>
      </c>
      <c r="D39" s="17" t="s">
        <v>697</v>
      </c>
      <c r="E39" s="17" t="s">
        <v>697</v>
      </c>
      <c r="F39" s="17" t="s">
        <v>82</v>
      </c>
      <c r="G39" s="17" t="s">
        <v>83</v>
      </c>
      <c r="H39" s="18">
        <f>ROUND(SUMPRODUCT(SUMIF(Final!$G$5:$G$331,CashReserveLevy!D39:F39,Final!$C$5:$C$331)),0)</f>
        <v>3468264</v>
      </c>
      <c r="I39" s="18">
        <f t="shared" si="4"/>
        <v>693653</v>
      </c>
      <c r="J39" s="18">
        <f>ROUND(SUMPRODUCT(SUMIF(Final!$G$5:$G$331,CashReserveLevy!D39:F39,Final!$E$5:$E$331)),0)</f>
        <v>545196</v>
      </c>
      <c r="K39" s="18">
        <f t="shared" si="1"/>
        <v>148457</v>
      </c>
      <c r="L39" s="18">
        <f>INDEX(ActualCRLevy_SAS!$A$2:$D$328,MATCH(CashReserveLevy!$C39,ActualCRLevy_SAS!$B$2:$B$328,0),4)</f>
        <v>148457</v>
      </c>
      <c r="M39" s="19" t="str">
        <f t="shared" si="2"/>
        <v>Max</v>
      </c>
      <c r="N39" s="1" t="str">
        <f t="shared" si="3"/>
        <v/>
      </c>
      <c r="O39" s="1" t="str">
        <f t="shared" si="5"/>
        <v/>
      </c>
    </row>
    <row r="40" spans="1:15" x14ac:dyDescent="0.2">
      <c r="A40" s="17">
        <v>2023</v>
      </c>
      <c r="B40" s="17" t="s">
        <v>37</v>
      </c>
      <c r="C40" s="17" t="s">
        <v>84</v>
      </c>
      <c r="D40" s="17" t="s">
        <v>697</v>
      </c>
      <c r="E40" s="17" t="s">
        <v>697</v>
      </c>
      <c r="F40" s="17" t="s">
        <v>84</v>
      </c>
      <c r="G40" s="17" t="s">
        <v>85</v>
      </c>
      <c r="H40" s="18">
        <f>ROUND(SUMPRODUCT(SUMIF(Final!$G$5:$G$331,CashReserveLevy!D40:F40,Final!$C$5:$C$331)),0)</f>
        <v>5864990</v>
      </c>
      <c r="I40" s="18">
        <f t="shared" si="4"/>
        <v>1172998</v>
      </c>
      <c r="J40" s="18">
        <f>ROUND(SUMPRODUCT(SUMIF(Final!$G$5:$G$331,CashReserveLevy!D40:F40,Final!$E$5:$E$331)),0)</f>
        <v>656784</v>
      </c>
      <c r="K40" s="18">
        <f t="shared" si="1"/>
        <v>516214</v>
      </c>
      <c r="L40" s="18">
        <f>INDEX(ActualCRLevy_SAS!$A$2:$D$328,MATCH(CashReserveLevy!$C40,ActualCRLevy_SAS!$B$2:$B$328,0),4)</f>
        <v>516214</v>
      </c>
      <c r="M40" s="19" t="str">
        <f t="shared" si="2"/>
        <v>Max</v>
      </c>
      <c r="N40" s="1" t="str">
        <f t="shared" si="3"/>
        <v/>
      </c>
      <c r="O40" s="1" t="str">
        <f t="shared" si="5"/>
        <v/>
      </c>
    </row>
    <row r="41" spans="1:15" x14ac:dyDescent="0.2">
      <c r="A41" s="17">
        <v>2023</v>
      </c>
      <c r="B41" s="17" t="s">
        <v>8</v>
      </c>
      <c r="C41" s="17" t="s">
        <v>86</v>
      </c>
      <c r="D41" s="17" t="s">
        <v>697</v>
      </c>
      <c r="E41" s="17" t="s">
        <v>697</v>
      </c>
      <c r="F41" s="17" t="s">
        <v>86</v>
      </c>
      <c r="G41" s="17" t="s">
        <v>87</v>
      </c>
      <c r="H41" s="18">
        <f>ROUND(SUMPRODUCT(SUMIF(Final!$G$5:$G$331,CashReserveLevy!D41:F41,Final!$C$5:$C$331)),0)</f>
        <v>12257995</v>
      </c>
      <c r="I41" s="18">
        <f t="shared" si="4"/>
        <v>2451599</v>
      </c>
      <c r="J41" s="18">
        <f>ROUND(SUMPRODUCT(SUMIF(Final!$G$5:$G$331,CashReserveLevy!D41:F41,Final!$E$5:$E$331)),0)</f>
        <v>1837180</v>
      </c>
      <c r="K41" s="18">
        <f t="shared" si="1"/>
        <v>614419</v>
      </c>
      <c r="L41" s="18">
        <f>INDEX(ActualCRLevy_SAS!$A$2:$D$328,MATCH(CashReserveLevy!$C41,ActualCRLevy_SAS!$B$2:$B$328,0),4)</f>
        <v>270670</v>
      </c>
      <c r="M41" s="19" t="str">
        <f t="shared" si="2"/>
        <v/>
      </c>
      <c r="N41" s="1" t="str">
        <f t="shared" si="3"/>
        <v/>
      </c>
      <c r="O41" s="1" t="str">
        <f t="shared" si="5"/>
        <v/>
      </c>
    </row>
    <row r="42" spans="1:15" x14ac:dyDescent="0.2">
      <c r="A42" s="17">
        <v>2023</v>
      </c>
      <c r="B42" s="17" t="s">
        <v>37</v>
      </c>
      <c r="C42" s="17" t="s">
        <v>88</v>
      </c>
      <c r="D42" s="17" t="s">
        <v>697</v>
      </c>
      <c r="E42" s="17" t="s">
        <v>697</v>
      </c>
      <c r="F42" s="17" t="s">
        <v>88</v>
      </c>
      <c r="G42" s="17" t="s">
        <v>89</v>
      </c>
      <c r="H42" s="18">
        <f>ROUND(SUMPRODUCT(SUMIF(Final!$G$5:$G$331,CashReserveLevy!D42:F42,Final!$C$5:$C$331)),0)</f>
        <v>12014968</v>
      </c>
      <c r="I42" s="18">
        <f t="shared" si="4"/>
        <v>2402994</v>
      </c>
      <c r="J42" s="18">
        <f>ROUND(SUMPRODUCT(SUMIF(Final!$G$5:$G$331,CashReserveLevy!D42:F42,Final!$E$5:$E$331)),0)</f>
        <v>1179123</v>
      </c>
      <c r="K42" s="18">
        <f t="shared" si="1"/>
        <v>1223871</v>
      </c>
      <c r="L42" s="18">
        <f>INDEX(ActualCRLevy_SAS!$A$2:$D$328,MATCH(CashReserveLevy!$C42,ActualCRLevy_SAS!$B$2:$B$328,0),4)</f>
        <v>784343</v>
      </c>
      <c r="M42" s="19" t="str">
        <f t="shared" si="2"/>
        <v/>
      </c>
      <c r="N42" s="1" t="str">
        <f t="shared" si="3"/>
        <v/>
      </c>
      <c r="O42" s="1" t="str">
        <f t="shared" si="5"/>
        <v/>
      </c>
    </row>
    <row r="43" spans="1:15" x14ac:dyDescent="0.2">
      <c r="A43" s="17">
        <v>2023</v>
      </c>
      <c r="B43" s="17" t="s">
        <v>17</v>
      </c>
      <c r="C43" s="17" t="s">
        <v>90</v>
      </c>
      <c r="D43" s="17" t="s">
        <v>697</v>
      </c>
      <c r="E43" s="17" t="s">
        <v>697</v>
      </c>
      <c r="F43" s="17" t="s">
        <v>90</v>
      </c>
      <c r="G43" s="17" t="s">
        <v>91</v>
      </c>
      <c r="H43" s="18">
        <f>ROUND(SUMPRODUCT(SUMIF(Final!$G$5:$G$331,CashReserveLevy!D43:F43,Final!$C$5:$C$331)),0)</f>
        <v>11053163</v>
      </c>
      <c r="I43" s="18">
        <f t="shared" si="4"/>
        <v>2210633</v>
      </c>
      <c r="J43" s="18">
        <f>ROUND(SUMPRODUCT(SUMIF(Final!$G$5:$G$331,CashReserveLevy!D43:F43,Final!$E$5:$E$331)),0)</f>
        <v>1867769</v>
      </c>
      <c r="K43" s="18">
        <f t="shared" si="1"/>
        <v>342864</v>
      </c>
      <c r="L43" s="18">
        <f>INDEX(ActualCRLevy_SAS!$A$2:$D$328,MATCH(CashReserveLevy!$C43,ActualCRLevy_SAS!$B$2:$B$328,0),4)</f>
        <v>342864</v>
      </c>
      <c r="M43" s="19" t="str">
        <f t="shared" si="2"/>
        <v>Max</v>
      </c>
      <c r="N43" s="1" t="str">
        <f t="shared" si="3"/>
        <v/>
      </c>
      <c r="O43" s="1" t="str">
        <f t="shared" si="5"/>
        <v/>
      </c>
    </row>
    <row r="44" spans="1:15" x14ac:dyDescent="0.2">
      <c r="A44" s="17">
        <v>2023</v>
      </c>
      <c r="B44" s="17" t="s">
        <v>0</v>
      </c>
      <c r="C44" s="17" t="s">
        <v>92</v>
      </c>
      <c r="D44" s="17" t="s">
        <v>697</v>
      </c>
      <c r="E44" s="17" t="s">
        <v>697</v>
      </c>
      <c r="F44" s="17" t="s">
        <v>92</v>
      </c>
      <c r="G44" s="17" t="s">
        <v>93</v>
      </c>
      <c r="H44" s="18">
        <f>ROUND(SUMPRODUCT(SUMIF(Final!$G$5:$G$331,CashReserveLevy!D44:F44,Final!$C$5:$C$331)),0)</f>
        <v>22234339</v>
      </c>
      <c r="I44" s="18">
        <f t="shared" si="4"/>
        <v>4446868</v>
      </c>
      <c r="J44" s="18">
        <f>ROUND(SUMPRODUCT(SUMIF(Final!$G$5:$G$331,CashReserveLevy!D44:F44,Final!$E$5:$E$331)),0)</f>
        <v>7433269</v>
      </c>
      <c r="K44" s="18">
        <f t="shared" si="1"/>
        <v>0</v>
      </c>
      <c r="L44" s="18">
        <f>INDEX(ActualCRLevy_SAS!$A$2:$D$328,MATCH(CashReserveLevy!$C44,ActualCRLevy_SAS!$B$2:$B$328,0),4)</f>
        <v>0</v>
      </c>
      <c r="M44" s="19" t="str">
        <f t="shared" si="2"/>
        <v/>
      </c>
      <c r="N44" s="1" t="str">
        <f t="shared" si="3"/>
        <v/>
      </c>
      <c r="O44" s="1" t="str">
        <f t="shared" si="5"/>
        <v/>
      </c>
    </row>
    <row r="45" spans="1:15" x14ac:dyDescent="0.2">
      <c r="A45" s="17">
        <v>2023</v>
      </c>
      <c r="B45" s="17" t="s">
        <v>0</v>
      </c>
      <c r="C45" s="17" t="s">
        <v>94</v>
      </c>
      <c r="D45" s="17" t="s">
        <v>697</v>
      </c>
      <c r="E45" s="17" t="s">
        <v>697</v>
      </c>
      <c r="F45" s="17" t="s">
        <v>94</v>
      </c>
      <c r="G45" s="17" t="s">
        <v>95</v>
      </c>
      <c r="H45" s="18">
        <f>ROUND(SUMPRODUCT(SUMIF(Final!$G$5:$G$331,CashReserveLevy!D45:F45,Final!$C$5:$C$331)),0)</f>
        <v>21367104</v>
      </c>
      <c r="I45" s="18">
        <f t="shared" si="4"/>
        <v>4273421</v>
      </c>
      <c r="J45" s="18">
        <f>ROUND(SUMPRODUCT(SUMIF(Final!$G$5:$G$331,CashReserveLevy!D45:F45,Final!$E$5:$E$331)),0)</f>
        <v>6841996</v>
      </c>
      <c r="K45" s="18">
        <f t="shared" si="1"/>
        <v>0</v>
      </c>
      <c r="L45" s="18">
        <f>INDEX(ActualCRLevy_SAS!$A$2:$D$328,MATCH(CashReserveLevy!$C45,ActualCRLevy_SAS!$B$2:$B$328,0),4)</f>
        <v>0</v>
      </c>
      <c r="M45" s="19" t="str">
        <f t="shared" si="2"/>
        <v/>
      </c>
      <c r="N45" s="1" t="str">
        <f t="shared" si="3"/>
        <v/>
      </c>
      <c r="O45" s="1" t="str">
        <f t="shared" si="5"/>
        <v/>
      </c>
    </row>
    <row r="46" spans="1:15" x14ac:dyDescent="0.2">
      <c r="A46" s="17">
        <v>2023</v>
      </c>
      <c r="B46" s="17" t="s">
        <v>5</v>
      </c>
      <c r="C46" s="17" t="s">
        <v>96</v>
      </c>
      <c r="D46" s="17" t="s">
        <v>697</v>
      </c>
      <c r="E46" s="17" t="s">
        <v>697</v>
      </c>
      <c r="F46" s="17" t="s">
        <v>96</v>
      </c>
      <c r="G46" s="17" t="s">
        <v>97</v>
      </c>
      <c r="H46" s="18">
        <f>ROUND(SUMPRODUCT(SUMIF(Final!$G$5:$G$331,CashReserveLevy!D46:F46,Final!$C$5:$C$331)),0)</f>
        <v>63963693</v>
      </c>
      <c r="I46" s="18">
        <f t="shared" si="4"/>
        <v>12792739</v>
      </c>
      <c r="J46" s="18">
        <f>ROUND(SUMPRODUCT(SUMIF(Final!$G$5:$G$331,CashReserveLevy!D46:F46,Final!$E$5:$E$331)),0)</f>
        <v>5989892</v>
      </c>
      <c r="K46" s="18">
        <f t="shared" si="1"/>
        <v>6802847</v>
      </c>
      <c r="L46" s="18">
        <f>INDEX(ActualCRLevy_SAS!$A$2:$D$328,MATCH(CashReserveLevy!$C46,ActualCRLevy_SAS!$B$2:$B$328,0),4)</f>
        <v>2718067</v>
      </c>
      <c r="M46" s="19" t="str">
        <f t="shared" si="2"/>
        <v/>
      </c>
      <c r="N46" s="1" t="str">
        <f t="shared" si="3"/>
        <v/>
      </c>
      <c r="O46" s="1" t="str">
        <f t="shared" si="5"/>
        <v/>
      </c>
    </row>
    <row r="47" spans="1:15" x14ac:dyDescent="0.2">
      <c r="A47" s="17">
        <v>2023</v>
      </c>
      <c r="B47" s="17" t="s">
        <v>20</v>
      </c>
      <c r="C47" s="17" t="s">
        <v>98</v>
      </c>
      <c r="D47" s="17" t="s">
        <v>697</v>
      </c>
      <c r="E47" s="17" t="s">
        <v>697</v>
      </c>
      <c r="F47" s="17" t="s">
        <v>98</v>
      </c>
      <c r="G47" s="17" t="s">
        <v>99</v>
      </c>
      <c r="H47" s="18">
        <f>ROUND(SUMPRODUCT(SUMIF(Final!$G$5:$G$331,CashReserveLevy!D47:F47,Final!$C$5:$C$331)),0)</f>
        <v>222796385</v>
      </c>
      <c r="I47" s="18">
        <f t="shared" si="4"/>
        <v>44559277</v>
      </c>
      <c r="J47" s="18">
        <f>ROUND(SUMPRODUCT(SUMIF(Final!$G$5:$G$331,CashReserveLevy!D47:F47,Final!$E$5:$E$331)),0)</f>
        <v>30508803</v>
      </c>
      <c r="K47" s="18">
        <f t="shared" si="1"/>
        <v>14050474</v>
      </c>
      <c r="L47" s="18">
        <f>INDEX(ActualCRLevy_SAS!$A$2:$D$328,MATCH(CashReserveLevy!$C47,ActualCRLevy_SAS!$B$2:$B$328,0),4)</f>
        <v>14050474</v>
      </c>
      <c r="M47" s="19" t="str">
        <f t="shared" si="2"/>
        <v>Max</v>
      </c>
      <c r="N47" s="1" t="str">
        <f t="shared" si="3"/>
        <v/>
      </c>
      <c r="O47" s="1" t="str">
        <f t="shared" si="5"/>
        <v/>
      </c>
    </row>
    <row r="48" spans="1:15" x14ac:dyDescent="0.2">
      <c r="A48" s="17">
        <v>2023</v>
      </c>
      <c r="B48" s="17" t="s">
        <v>20</v>
      </c>
      <c r="C48" s="17" t="s">
        <v>100</v>
      </c>
      <c r="D48" s="17" t="s">
        <v>697</v>
      </c>
      <c r="E48" s="17" t="s">
        <v>697</v>
      </c>
      <c r="F48" s="17" t="s">
        <v>100</v>
      </c>
      <c r="G48" s="17" t="s">
        <v>101</v>
      </c>
      <c r="H48" s="18">
        <f>ROUND(SUMPRODUCT(SUMIF(Final!$G$5:$G$331,CashReserveLevy!D48:F48,Final!$C$5:$C$331)),0)</f>
        <v>15765612</v>
      </c>
      <c r="I48" s="18">
        <f t="shared" si="4"/>
        <v>3153122</v>
      </c>
      <c r="J48" s="18">
        <f>ROUND(SUMPRODUCT(SUMIF(Final!$G$5:$G$331,CashReserveLevy!D48:F48,Final!$E$5:$E$331)),0)</f>
        <v>5276913</v>
      </c>
      <c r="K48" s="18">
        <f t="shared" si="1"/>
        <v>0</v>
      </c>
      <c r="L48" s="18">
        <f>INDEX(ActualCRLevy_SAS!$A$2:$D$328,MATCH(CashReserveLevy!$C48,ActualCRLevy_SAS!$B$2:$B$328,0),4)</f>
        <v>0</v>
      </c>
      <c r="M48" s="19" t="str">
        <f t="shared" si="2"/>
        <v/>
      </c>
      <c r="N48" s="1" t="str">
        <f t="shared" si="3"/>
        <v/>
      </c>
      <c r="O48" s="1" t="str">
        <f t="shared" si="5"/>
        <v/>
      </c>
    </row>
    <row r="49" spans="1:15" x14ac:dyDescent="0.2">
      <c r="A49" s="17">
        <v>2023</v>
      </c>
      <c r="B49" s="17" t="s">
        <v>17</v>
      </c>
      <c r="C49" s="17" t="s">
        <v>102</v>
      </c>
      <c r="D49" s="17" t="s">
        <v>697</v>
      </c>
      <c r="E49" s="17" t="s">
        <v>697</v>
      </c>
      <c r="F49" s="17" t="s">
        <v>102</v>
      </c>
      <c r="G49" s="17" t="s">
        <v>103</v>
      </c>
      <c r="H49" s="18">
        <f>ROUND(SUMPRODUCT(SUMIF(Final!$G$5:$G$331,CashReserveLevy!D49:F49,Final!$C$5:$C$331)),0)</f>
        <v>15660171</v>
      </c>
      <c r="I49" s="18">
        <f t="shared" si="4"/>
        <v>3132034</v>
      </c>
      <c r="J49" s="18">
        <f>ROUND(SUMPRODUCT(SUMIF(Final!$G$5:$G$331,CashReserveLevy!D49:F49,Final!$E$5:$E$331)),0)</f>
        <v>4290930</v>
      </c>
      <c r="K49" s="18">
        <f t="shared" si="1"/>
        <v>0</v>
      </c>
      <c r="L49" s="18">
        <f>INDEX(ActualCRLevy_SAS!$A$2:$D$328,MATCH(CashReserveLevy!$C49,ActualCRLevy_SAS!$B$2:$B$328,0),4)</f>
        <v>0</v>
      </c>
      <c r="M49" s="19" t="str">
        <f t="shared" si="2"/>
        <v/>
      </c>
      <c r="N49" s="1" t="str">
        <f t="shared" si="3"/>
        <v/>
      </c>
      <c r="O49" s="1" t="str">
        <f t="shared" si="5"/>
        <v/>
      </c>
    </row>
    <row r="50" spans="1:15" x14ac:dyDescent="0.2">
      <c r="A50" s="17">
        <v>2023</v>
      </c>
      <c r="B50" s="17" t="s">
        <v>20</v>
      </c>
      <c r="C50" s="17" t="s">
        <v>104</v>
      </c>
      <c r="D50" s="17" t="s">
        <v>697</v>
      </c>
      <c r="E50" s="17" t="s">
        <v>697</v>
      </c>
      <c r="F50" s="17" t="s">
        <v>104</v>
      </c>
      <c r="G50" s="17" t="s">
        <v>105</v>
      </c>
      <c r="H50" s="18">
        <f>ROUND(SUMPRODUCT(SUMIF(Final!$G$5:$G$331,CashReserveLevy!D50:F50,Final!$C$5:$C$331)),0)</f>
        <v>5733889</v>
      </c>
      <c r="I50" s="18">
        <f t="shared" si="4"/>
        <v>1146778</v>
      </c>
      <c r="J50" s="18">
        <f>ROUND(SUMPRODUCT(SUMIF(Final!$G$5:$G$331,CashReserveLevy!D50:F50,Final!$E$5:$E$331)),0)</f>
        <v>1459211</v>
      </c>
      <c r="K50" s="18">
        <f t="shared" si="1"/>
        <v>0</v>
      </c>
      <c r="L50" s="18">
        <f>INDEX(ActualCRLevy_SAS!$A$2:$D$328,MATCH(CashReserveLevy!$C50,ActualCRLevy_SAS!$B$2:$B$328,0),4)</f>
        <v>0</v>
      </c>
      <c r="M50" s="19" t="str">
        <f t="shared" si="2"/>
        <v/>
      </c>
      <c r="N50" s="1" t="str">
        <f t="shared" si="3"/>
        <v/>
      </c>
      <c r="O50" s="1" t="str">
        <f t="shared" si="5"/>
        <v/>
      </c>
    </row>
    <row r="51" spans="1:15" x14ac:dyDescent="0.2">
      <c r="A51" s="17">
        <v>2023</v>
      </c>
      <c r="B51" s="17" t="s">
        <v>28</v>
      </c>
      <c r="C51" s="17" t="s">
        <v>106</v>
      </c>
      <c r="D51" s="17" t="s">
        <v>697</v>
      </c>
      <c r="E51" s="17" t="s">
        <v>697</v>
      </c>
      <c r="F51" s="17" t="s">
        <v>106</v>
      </c>
      <c r="G51" s="17" t="s">
        <v>107</v>
      </c>
      <c r="H51" s="18">
        <f>ROUND(SUMPRODUCT(SUMIF(Final!$G$5:$G$331,CashReserveLevy!D51:F51,Final!$C$5:$C$331)),0)</f>
        <v>5920035</v>
      </c>
      <c r="I51" s="18">
        <f t="shared" si="4"/>
        <v>1184007</v>
      </c>
      <c r="J51" s="18">
        <f>ROUND(SUMPRODUCT(SUMIF(Final!$G$5:$G$331,CashReserveLevy!D51:F51,Final!$E$5:$E$331)),0)</f>
        <v>804330</v>
      </c>
      <c r="K51" s="18">
        <f t="shared" si="1"/>
        <v>379677</v>
      </c>
      <c r="L51" s="18">
        <f>INDEX(ActualCRLevy_SAS!$A$2:$D$328,MATCH(CashReserveLevy!$C51,ActualCRLevy_SAS!$B$2:$B$328,0),4)</f>
        <v>300000</v>
      </c>
      <c r="M51" s="19" t="str">
        <f t="shared" si="2"/>
        <v/>
      </c>
      <c r="N51" s="1" t="str">
        <f t="shared" si="3"/>
        <v/>
      </c>
      <c r="O51" s="1" t="str">
        <f t="shared" si="5"/>
        <v/>
      </c>
    </row>
    <row r="52" spans="1:15" x14ac:dyDescent="0.2">
      <c r="A52" s="17">
        <v>2023</v>
      </c>
      <c r="B52" s="17" t="s">
        <v>37</v>
      </c>
      <c r="C52" s="17" t="s">
        <v>108</v>
      </c>
      <c r="D52" s="17" t="s">
        <v>697</v>
      </c>
      <c r="E52" s="17" t="s">
        <v>697</v>
      </c>
      <c r="F52" s="17" t="s">
        <v>108</v>
      </c>
      <c r="G52" s="17" t="s">
        <v>109</v>
      </c>
      <c r="H52" s="18">
        <f>ROUND(SUMPRODUCT(SUMIF(Final!$G$5:$G$331,CashReserveLevy!D52:F52,Final!$C$5:$C$331)),0)</f>
        <v>18835907</v>
      </c>
      <c r="I52" s="18">
        <f t="shared" si="4"/>
        <v>3767181</v>
      </c>
      <c r="J52" s="18">
        <f>ROUND(SUMPRODUCT(SUMIF(Final!$G$5:$G$331,CashReserveLevy!D52:F52,Final!$E$5:$E$331)),0)</f>
        <v>2109486</v>
      </c>
      <c r="K52" s="18">
        <f t="shared" si="1"/>
        <v>1657695</v>
      </c>
      <c r="L52" s="18">
        <f>INDEX(ActualCRLevy_SAS!$A$2:$D$328,MATCH(CashReserveLevy!$C52,ActualCRLevy_SAS!$B$2:$B$328,0),4)</f>
        <v>960000</v>
      </c>
      <c r="M52" s="19" t="str">
        <f t="shared" si="2"/>
        <v/>
      </c>
      <c r="N52" s="1" t="str">
        <f t="shared" si="3"/>
        <v/>
      </c>
      <c r="O52" s="1" t="str">
        <f t="shared" si="5"/>
        <v/>
      </c>
    </row>
    <row r="53" spans="1:15" x14ac:dyDescent="0.2">
      <c r="A53" s="17">
        <v>2023</v>
      </c>
      <c r="B53" s="17" t="s">
        <v>8</v>
      </c>
      <c r="C53" s="17" t="s">
        <v>110</v>
      </c>
      <c r="D53" s="17" t="s">
        <v>697</v>
      </c>
      <c r="E53" s="17" t="s">
        <v>697</v>
      </c>
      <c r="F53" s="17" t="s">
        <v>110</v>
      </c>
      <c r="G53" s="17" t="s">
        <v>111</v>
      </c>
      <c r="H53" s="18">
        <f>ROUND(SUMPRODUCT(SUMIF(Final!$G$5:$G$331,CashReserveLevy!D53:F53,Final!$C$5:$C$331)),0)</f>
        <v>8641613</v>
      </c>
      <c r="I53" s="18">
        <f t="shared" si="4"/>
        <v>1728323</v>
      </c>
      <c r="J53" s="18">
        <f>ROUND(SUMPRODUCT(SUMIF(Final!$G$5:$G$331,CashReserveLevy!D53:F53,Final!$E$5:$E$331)),0)</f>
        <v>2406731</v>
      </c>
      <c r="K53" s="18">
        <f t="shared" si="1"/>
        <v>0</v>
      </c>
      <c r="L53" s="18">
        <f>INDEX(ActualCRLevy_SAS!$A$2:$D$328,MATCH(CashReserveLevy!$C53,ActualCRLevy_SAS!$B$2:$B$328,0),4)</f>
        <v>0</v>
      </c>
      <c r="M53" s="19" t="str">
        <f t="shared" si="2"/>
        <v/>
      </c>
      <c r="N53" s="1" t="str">
        <f t="shared" si="3"/>
        <v/>
      </c>
      <c r="O53" s="1" t="str">
        <f t="shared" si="5"/>
        <v/>
      </c>
    </row>
    <row r="54" spans="1:15" x14ac:dyDescent="0.2">
      <c r="A54" s="17">
        <v>2023</v>
      </c>
      <c r="B54" s="17" t="s">
        <v>17</v>
      </c>
      <c r="C54" s="17" t="s">
        <v>112</v>
      </c>
      <c r="D54" s="17" t="s">
        <v>697</v>
      </c>
      <c r="E54" s="17" t="s">
        <v>697</v>
      </c>
      <c r="F54" s="17" t="s">
        <v>112</v>
      </c>
      <c r="G54" s="17" t="s">
        <v>113</v>
      </c>
      <c r="H54" s="18">
        <f>ROUND(SUMPRODUCT(SUMIF(Final!$G$5:$G$331,CashReserveLevy!D54:F54,Final!$C$5:$C$331)),0)</f>
        <v>11690833</v>
      </c>
      <c r="I54" s="18">
        <f t="shared" si="4"/>
        <v>2338167</v>
      </c>
      <c r="J54" s="18">
        <f>ROUND(SUMPRODUCT(SUMIF(Final!$G$5:$G$331,CashReserveLevy!D54:F54,Final!$E$5:$E$331)),0)</f>
        <v>2837237</v>
      </c>
      <c r="K54" s="18">
        <f t="shared" si="1"/>
        <v>0</v>
      </c>
      <c r="L54" s="18">
        <f>INDEX(ActualCRLevy_SAS!$A$2:$D$328,MATCH(CashReserveLevy!$C54,ActualCRLevy_SAS!$B$2:$B$328,0),4)</f>
        <v>0</v>
      </c>
      <c r="M54" s="19" t="str">
        <f t="shared" si="2"/>
        <v/>
      </c>
      <c r="N54" s="1" t="str">
        <f t="shared" si="3"/>
        <v/>
      </c>
      <c r="O54" s="1" t="str">
        <f t="shared" si="5"/>
        <v/>
      </c>
    </row>
    <row r="55" spans="1:15" x14ac:dyDescent="0.2">
      <c r="A55" s="17">
        <v>2023</v>
      </c>
      <c r="B55" s="17" t="s">
        <v>11</v>
      </c>
      <c r="C55" s="17" t="s">
        <v>114</v>
      </c>
      <c r="D55" s="17" t="s">
        <v>697</v>
      </c>
      <c r="E55" s="17" t="s">
        <v>697</v>
      </c>
      <c r="F55" s="17" t="s">
        <v>114</v>
      </c>
      <c r="G55" s="17" t="s">
        <v>115</v>
      </c>
      <c r="H55" s="18">
        <f>ROUND(SUMPRODUCT(SUMIF(Final!$G$5:$G$331,CashReserveLevy!D55:F55,Final!$C$5:$C$331)),0)</f>
        <v>9510599</v>
      </c>
      <c r="I55" s="18">
        <f t="shared" si="4"/>
        <v>1902120</v>
      </c>
      <c r="J55" s="18">
        <f>ROUND(SUMPRODUCT(SUMIF(Final!$G$5:$G$331,CashReserveLevy!D55:F55,Final!$E$5:$E$331)),0)</f>
        <v>1762669</v>
      </c>
      <c r="K55" s="18">
        <f t="shared" si="1"/>
        <v>139451</v>
      </c>
      <c r="L55" s="18">
        <f>INDEX(ActualCRLevy_SAS!$A$2:$D$328,MATCH(CashReserveLevy!$C55,ActualCRLevy_SAS!$B$2:$B$328,0),4)</f>
        <v>139451</v>
      </c>
      <c r="M55" s="19" t="str">
        <f t="shared" si="2"/>
        <v>Max</v>
      </c>
      <c r="N55" s="1" t="str">
        <f t="shared" si="3"/>
        <v/>
      </c>
      <c r="O55" s="1" t="str">
        <f t="shared" si="5"/>
        <v/>
      </c>
    </row>
    <row r="56" spans="1:15" x14ac:dyDescent="0.2">
      <c r="A56" s="17">
        <v>2023</v>
      </c>
      <c r="B56" s="17" t="s">
        <v>5</v>
      </c>
      <c r="C56" s="17" t="s">
        <v>116</v>
      </c>
      <c r="D56" s="17" t="s">
        <v>697</v>
      </c>
      <c r="E56" s="17" t="s">
        <v>697</v>
      </c>
      <c r="F56" s="17" t="s">
        <v>116</v>
      </c>
      <c r="G56" s="17" t="s">
        <v>117</v>
      </c>
      <c r="H56" s="18">
        <f>ROUND(SUMPRODUCT(SUMIF(Final!$G$5:$G$331,CashReserveLevy!D56:F56,Final!$C$5:$C$331)),0)</f>
        <v>10323087</v>
      </c>
      <c r="I56" s="18">
        <f t="shared" si="4"/>
        <v>2064617</v>
      </c>
      <c r="J56" s="18">
        <f>ROUND(SUMPRODUCT(SUMIF(Final!$G$5:$G$331,CashReserveLevy!D56:F56,Final!$E$5:$E$331)),0)</f>
        <v>2447214</v>
      </c>
      <c r="K56" s="18">
        <f t="shared" si="1"/>
        <v>0</v>
      </c>
      <c r="L56" s="18">
        <f>INDEX(ActualCRLevy_SAS!$A$2:$D$328,MATCH(CashReserveLevy!$C56,ActualCRLevy_SAS!$B$2:$B$328,0),4)</f>
        <v>0</v>
      </c>
      <c r="M56" s="19" t="str">
        <f t="shared" si="2"/>
        <v/>
      </c>
      <c r="N56" s="1" t="str">
        <f t="shared" si="3"/>
        <v/>
      </c>
      <c r="O56" s="1" t="str">
        <f t="shared" si="5"/>
        <v/>
      </c>
    </row>
    <row r="57" spans="1:15" x14ac:dyDescent="0.2">
      <c r="A57" s="17">
        <v>2023</v>
      </c>
      <c r="B57" s="17" t="s">
        <v>17</v>
      </c>
      <c r="C57" s="17" t="s">
        <v>118</v>
      </c>
      <c r="D57" s="17" t="s">
        <v>697</v>
      </c>
      <c r="E57" s="17" t="s">
        <v>697</v>
      </c>
      <c r="F57" s="17" t="s">
        <v>118</v>
      </c>
      <c r="G57" s="17" t="s">
        <v>119</v>
      </c>
      <c r="H57" s="18">
        <f>ROUND(SUMPRODUCT(SUMIF(Final!$G$5:$G$331,CashReserveLevy!D57:F57,Final!$C$5:$C$331)),0)</f>
        <v>14934365</v>
      </c>
      <c r="I57" s="18">
        <f t="shared" si="4"/>
        <v>2986873</v>
      </c>
      <c r="J57" s="18">
        <f>ROUND(SUMPRODUCT(SUMIF(Final!$G$5:$G$331,CashReserveLevy!D57:F57,Final!$E$5:$E$331)),0)</f>
        <v>2308225</v>
      </c>
      <c r="K57" s="18">
        <f t="shared" si="1"/>
        <v>678648</v>
      </c>
      <c r="L57" s="18">
        <f>INDEX(ActualCRLevy_SAS!$A$2:$D$328,MATCH(CashReserveLevy!$C57,ActualCRLevy_SAS!$B$2:$B$328,0),4)</f>
        <v>605663</v>
      </c>
      <c r="M57" s="19" t="str">
        <f t="shared" si="2"/>
        <v/>
      </c>
      <c r="N57" s="1" t="str">
        <f t="shared" si="3"/>
        <v/>
      </c>
      <c r="O57" s="1" t="str">
        <f t="shared" si="5"/>
        <v/>
      </c>
    </row>
    <row r="58" spans="1:15" x14ac:dyDescent="0.2">
      <c r="A58" s="17">
        <v>2023</v>
      </c>
      <c r="B58" s="17" t="s">
        <v>5</v>
      </c>
      <c r="C58" s="17" t="s">
        <v>120</v>
      </c>
      <c r="D58" s="17" t="s">
        <v>697</v>
      </c>
      <c r="E58" s="17" t="s">
        <v>697</v>
      </c>
      <c r="F58" s="17" t="s">
        <v>120</v>
      </c>
      <c r="G58" s="17" t="s">
        <v>121</v>
      </c>
      <c r="H58" s="18">
        <f>ROUND(SUMPRODUCT(SUMIF(Final!$G$5:$G$331,CashReserveLevy!D58:F58,Final!$C$5:$C$331)),0)</f>
        <v>20016553</v>
      </c>
      <c r="I58" s="18">
        <f t="shared" si="4"/>
        <v>4003311</v>
      </c>
      <c r="J58" s="18">
        <f>ROUND(SUMPRODUCT(SUMIF(Final!$G$5:$G$331,CashReserveLevy!D58:F58,Final!$E$5:$E$331)),0)</f>
        <v>1964944</v>
      </c>
      <c r="K58" s="18">
        <f t="shared" si="1"/>
        <v>2038367</v>
      </c>
      <c r="L58" s="18">
        <f>INDEX(ActualCRLevy_SAS!$A$2:$D$328,MATCH(CashReserveLevy!$C58,ActualCRLevy_SAS!$B$2:$B$328,0),4)</f>
        <v>1122000</v>
      </c>
      <c r="M58" s="19" t="str">
        <f t="shared" si="2"/>
        <v/>
      </c>
      <c r="N58" s="1" t="str">
        <f t="shared" si="3"/>
        <v/>
      </c>
      <c r="O58" s="1" t="str">
        <f t="shared" si="5"/>
        <v/>
      </c>
    </row>
    <row r="59" spans="1:15" x14ac:dyDescent="0.2">
      <c r="A59" s="17">
        <v>2023</v>
      </c>
      <c r="B59" s="17" t="s">
        <v>11</v>
      </c>
      <c r="C59" s="17" t="s">
        <v>122</v>
      </c>
      <c r="D59" s="17" t="s">
        <v>697</v>
      </c>
      <c r="E59" s="17" t="s">
        <v>697</v>
      </c>
      <c r="F59" s="17" t="s">
        <v>122</v>
      </c>
      <c r="G59" s="17" t="s">
        <v>123</v>
      </c>
      <c r="H59" s="18">
        <f>ROUND(SUMPRODUCT(SUMIF(Final!$G$5:$G$331,CashReserveLevy!D59:F59,Final!$C$5:$C$331)),0)</f>
        <v>3483192</v>
      </c>
      <c r="I59" s="18">
        <f t="shared" si="4"/>
        <v>696638</v>
      </c>
      <c r="J59" s="18">
        <f>ROUND(SUMPRODUCT(SUMIF(Final!$G$5:$G$331,CashReserveLevy!D59:F59,Final!$E$5:$E$331)),0)</f>
        <v>1248815</v>
      </c>
      <c r="K59" s="18">
        <f t="shared" si="1"/>
        <v>0</v>
      </c>
      <c r="L59" s="18">
        <f>INDEX(ActualCRLevy_SAS!$A$2:$D$328,MATCH(CashReserveLevy!$C59,ActualCRLevy_SAS!$B$2:$B$328,0),4)</f>
        <v>0</v>
      </c>
      <c r="M59" s="19" t="str">
        <f t="shared" si="2"/>
        <v/>
      </c>
      <c r="N59" s="1" t="str">
        <f t="shared" si="3"/>
        <v/>
      </c>
      <c r="O59" s="1" t="str">
        <f t="shared" si="5"/>
        <v/>
      </c>
    </row>
    <row r="60" spans="1:15" x14ac:dyDescent="0.2">
      <c r="A60" s="17">
        <v>2023</v>
      </c>
      <c r="B60" s="17" t="s">
        <v>11</v>
      </c>
      <c r="C60" s="17" t="s">
        <v>124</v>
      </c>
      <c r="D60" s="17" t="s">
        <v>697</v>
      </c>
      <c r="E60" s="17" t="s">
        <v>697</v>
      </c>
      <c r="F60" s="17" t="s">
        <v>124</v>
      </c>
      <c r="G60" s="17" t="s">
        <v>125</v>
      </c>
      <c r="H60" s="18">
        <f>ROUND(SUMPRODUCT(SUMIF(Final!$G$5:$G$331,CashReserveLevy!D60:F60,Final!$C$5:$C$331)),0)</f>
        <v>12210534</v>
      </c>
      <c r="I60" s="18">
        <f t="shared" si="4"/>
        <v>2442107</v>
      </c>
      <c r="J60" s="18">
        <f>ROUND(SUMPRODUCT(SUMIF(Final!$G$5:$G$331,CashReserveLevy!D60:F60,Final!$E$5:$E$331)),0)</f>
        <v>2826476</v>
      </c>
      <c r="K60" s="18">
        <f t="shared" si="1"/>
        <v>0</v>
      </c>
      <c r="L60" s="18">
        <f>INDEX(ActualCRLevy_SAS!$A$2:$D$328,MATCH(CashReserveLevy!$C60,ActualCRLevy_SAS!$B$2:$B$328,0),4)</f>
        <v>0</v>
      </c>
      <c r="M60" s="19" t="str">
        <f t="shared" si="2"/>
        <v/>
      </c>
      <c r="N60" s="1" t="str">
        <f t="shared" si="3"/>
        <v/>
      </c>
      <c r="O60" s="1" t="str">
        <f t="shared" si="5"/>
        <v/>
      </c>
    </row>
    <row r="61" spans="1:15" x14ac:dyDescent="0.2">
      <c r="A61" s="17">
        <v>2023</v>
      </c>
      <c r="B61" s="17" t="s">
        <v>8</v>
      </c>
      <c r="C61" s="17" t="s">
        <v>126</v>
      </c>
      <c r="D61" s="17" t="s">
        <v>697</v>
      </c>
      <c r="E61" s="17" t="s">
        <v>697</v>
      </c>
      <c r="F61" s="17" t="s">
        <v>126</v>
      </c>
      <c r="G61" s="17" t="s">
        <v>127</v>
      </c>
      <c r="H61" s="18">
        <f>ROUND(SUMPRODUCT(SUMIF(Final!$G$5:$G$331,CashReserveLevy!D61:F61,Final!$C$5:$C$331)),0)</f>
        <v>12227451</v>
      </c>
      <c r="I61" s="18">
        <f t="shared" si="4"/>
        <v>2445490</v>
      </c>
      <c r="J61" s="18">
        <f>ROUND(SUMPRODUCT(SUMIF(Final!$G$5:$G$331,CashReserveLevy!D61:F61,Final!$E$5:$E$331)),0)</f>
        <v>2263620</v>
      </c>
      <c r="K61" s="18">
        <f t="shared" si="1"/>
        <v>181870</v>
      </c>
      <c r="L61" s="18">
        <f>INDEX(ActualCRLevy_SAS!$A$2:$D$328,MATCH(CashReserveLevy!$C61,ActualCRLevy_SAS!$B$2:$B$328,0),4)</f>
        <v>181870</v>
      </c>
      <c r="M61" s="19" t="str">
        <f t="shared" si="2"/>
        <v>Max</v>
      </c>
      <c r="N61" s="1" t="str">
        <f t="shared" si="3"/>
        <v/>
      </c>
      <c r="O61" s="1" t="str">
        <f t="shared" si="5"/>
        <v/>
      </c>
    </row>
    <row r="62" spans="1:15" x14ac:dyDescent="0.2">
      <c r="A62" s="17">
        <v>2023</v>
      </c>
      <c r="B62" s="17" t="s">
        <v>14</v>
      </c>
      <c r="C62" s="17" t="s">
        <v>128</v>
      </c>
      <c r="D62" s="17" t="s">
        <v>130</v>
      </c>
      <c r="E62" s="17" t="s">
        <v>697</v>
      </c>
      <c r="F62" s="17" t="s">
        <v>128</v>
      </c>
      <c r="G62" s="17" t="s">
        <v>129</v>
      </c>
      <c r="H62" s="18">
        <f>ROUND(SUMPRODUCT(SUMIF(Final!$G$5:$G$331,CashReserveLevy!D62:F62,Final!$C$5:$C$331)),0)</f>
        <v>13073090</v>
      </c>
      <c r="I62" s="18">
        <f t="shared" si="4"/>
        <v>2614618</v>
      </c>
      <c r="J62" s="18">
        <f>ROUND(SUMPRODUCT(SUMIF(Final!$G$5:$G$331,CashReserveLevy!D62:F62,Final!$E$5:$E$331)),0)</f>
        <v>1261509</v>
      </c>
      <c r="K62" s="18">
        <f t="shared" si="1"/>
        <v>1353109</v>
      </c>
      <c r="L62" s="18">
        <f>INDEX(ActualCRLevy_SAS!$A$2:$D$328,MATCH(CashReserveLevy!$C62,ActualCRLevy_SAS!$B$2:$B$328,0),4)</f>
        <v>1000000</v>
      </c>
      <c r="M62" s="19" t="str">
        <f t="shared" si="2"/>
        <v/>
      </c>
      <c r="N62" s="1" t="str">
        <f t="shared" si="3"/>
        <v/>
      </c>
      <c r="O62" s="1" t="str">
        <f t="shared" si="5"/>
        <v/>
      </c>
    </row>
    <row r="63" spans="1:15" x14ac:dyDescent="0.2">
      <c r="A63" s="17">
        <v>2023</v>
      </c>
      <c r="B63" s="17" t="s">
        <v>8</v>
      </c>
      <c r="C63" s="17" t="s">
        <v>131</v>
      </c>
      <c r="D63" s="17" t="s">
        <v>697</v>
      </c>
      <c r="E63" s="17" t="s">
        <v>697</v>
      </c>
      <c r="F63" s="17" t="s">
        <v>131</v>
      </c>
      <c r="G63" s="17" t="s">
        <v>132</v>
      </c>
      <c r="H63" s="18">
        <f>ROUND(SUMPRODUCT(SUMIF(Final!$G$5:$G$331,CashReserveLevy!D63:F63,Final!$C$5:$C$331)),0)</f>
        <v>17300674</v>
      </c>
      <c r="I63" s="18">
        <f t="shared" si="4"/>
        <v>3460135</v>
      </c>
      <c r="J63" s="18">
        <f>ROUND(SUMPRODUCT(SUMIF(Final!$G$5:$G$331,CashReserveLevy!D63:F63,Final!$E$5:$E$331)),0)</f>
        <v>73339</v>
      </c>
      <c r="K63" s="18">
        <f t="shared" si="1"/>
        <v>3386796</v>
      </c>
      <c r="L63" s="18">
        <f>INDEX(ActualCRLevy_SAS!$A$2:$D$328,MATCH(CashReserveLevy!$C63,ActualCRLevy_SAS!$B$2:$B$328,0),4)</f>
        <v>1004300</v>
      </c>
      <c r="M63" s="19" t="str">
        <f t="shared" si="2"/>
        <v/>
      </c>
      <c r="N63" s="1" t="str">
        <f t="shared" si="3"/>
        <v/>
      </c>
      <c r="O63" s="1" t="str">
        <f t="shared" si="5"/>
        <v/>
      </c>
    </row>
    <row r="64" spans="1:15" x14ac:dyDescent="0.2">
      <c r="A64" s="17">
        <v>2023</v>
      </c>
      <c r="B64" s="17" t="s">
        <v>5</v>
      </c>
      <c r="C64" s="17" t="s">
        <v>133</v>
      </c>
      <c r="D64" s="17" t="s">
        <v>697</v>
      </c>
      <c r="E64" s="17" t="s">
        <v>697</v>
      </c>
      <c r="F64" s="17" t="s">
        <v>133</v>
      </c>
      <c r="G64" s="17" t="s">
        <v>134</v>
      </c>
      <c r="H64" s="18">
        <f>ROUND(SUMPRODUCT(SUMIF(Final!$G$5:$G$331,CashReserveLevy!D64:F64,Final!$C$5:$C$331)),0)</f>
        <v>4029477</v>
      </c>
      <c r="I64" s="18">
        <f t="shared" si="4"/>
        <v>805895</v>
      </c>
      <c r="J64" s="18">
        <f>ROUND(SUMPRODUCT(SUMIF(Final!$G$5:$G$331,CashReserveLevy!D64:F64,Final!$E$5:$E$331)),0)</f>
        <v>900425</v>
      </c>
      <c r="K64" s="18">
        <f t="shared" si="1"/>
        <v>0</v>
      </c>
      <c r="L64" s="18">
        <f>INDEX(ActualCRLevy_SAS!$A$2:$D$328,MATCH(CashReserveLevy!$C64,ActualCRLevy_SAS!$B$2:$B$328,0),4)</f>
        <v>0</v>
      </c>
      <c r="M64" s="19" t="str">
        <f t="shared" si="2"/>
        <v/>
      </c>
      <c r="N64" s="1" t="str">
        <f t="shared" si="3"/>
        <v/>
      </c>
      <c r="O64" s="1" t="str">
        <f t="shared" si="5"/>
        <v/>
      </c>
    </row>
    <row r="65" spans="1:15" x14ac:dyDescent="0.2">
      <c r="A65" s="17">
        <v>2023</v>
      </c>
      <c r="B65" s="17" t="s">
        <v>14</v>
      </c>
      <c r="C65" s="17" t="s">
        <v>135</v>
      </c>
      <c r="D65" s="17" t="s">
        <v>697</v>
      </c>
      <c r="E65" s="17" t="s">
        <v>697</v>
      </c>
      <c r="F65" s="17" t="s">
        <v>135</v>
      </c>
      <c r="G65" s="17" t="s">
        <v>136</v>
      </c>
      <c r="H65" s="18">
        <f>ROUND(SUMPRODUCT(SUMIF(Final!$G$5:$G$331,CashReserveLevy!D65:F65,Final!$C$5:$C$331)),0)</f>
        <v>3770651</v>
      </c>
      <c r="I65" s="18">
        <f t="shared" si="4"/>
        <v>754130</v>
      </c>
      <c r="J65" s="18">
        <f>ROUND(SUMPRODUCT(SUMIF(Final!$G$5:$G$331,CashReserveLevy!D65:F65,Final!$E$5:$E$331)),0)</f>
        <v>1121410</v>
      </c>
      <c r="K65" s="18">
        <f t="shared" si="1"/>
        <v>0</v>
      </c>
      <c r="L65" s="18">
        <f>INDEX(ActualCRLevy_SAS!$A$2:$D$328,MATCH(CashReserveLevy!$C65,ActualCRLevy_SAS!$B$2:$B$328,0),4)</f>
        <v>0</v>
      </c>
      <c r="M65" s="19" t="str">
        <f t="shared" si="2"/>
        <v/>
      </c>
      <c r="N65" s="1" t="str">
        <f t="shared" si="3"/>
        <v/>
      </c>
      <c r="O65" s="1" t="str">
        <f t="shared" si="5"/>
        <v/>
      </c>
    </row>
    <row r="66" spans="1:15" x14ac:dyDescent="0.2">
      <c r="A66" s="17">
        <v>2023</v>
      </c>
      <c r="B66" s="17" t="s">
        <v>28</v>
      </c>
      <c r="C66" s="17" t="s">
        <v>137</v>
      </c>
      <c r="D66" s="17" t="s">
        <v>697</v>
      </c>
      <c r="E66" s="17" t="s">
        <v>697</v>
      </c>
      <c r="F66" s="17" t="s">
        <v>137</v>
      </c>
      <c r="G66" s="17" t="s">
        <v>138</v>
      </c>
      <c r="H66" s="18">
        <f>ROUND(SUMPRODUCT(SUMIF(Final!$G$5:$G$331,CashReserveLevy!D66:F66,Final!$C$5:$C$331)),0)</f>
        <v>12615812</v>
      </c>
      <c r="I66" s="18">
        <f t="shared" si="4"/>
        <v>2523162</v>
      </c>
      <c r="J66" s="18">
        <f>ROUND(SUMPRODUCT(SUMIF(Final!$G$5:$G$331,CashReserveLevy!D66:F66,Final!$E$5:$E$331)),0)</f>
        <v>1049464</v>
      </c>
      <c r="K66" s="18">
        <f t="shared" si="1"/>
        <v>1473698</v>
      </c>
      <c r="L66" s="18">
        <f>INDEX(ActualCRLevy_SAS!$A$2:$D$328,MATCH(CashReserveLevy!$C66,ActualCRLevy_SAS!$B$2:$B$328,0),4)</f>
        <v>200000</v>
      </c>
      <c r="M66" s="19" t="str">
        <f t="shared" si="2"/>
        <v/>
      </c>
      <c r="N66" s="1" t="str">
        <f t="shared" si="3"/>
        <v/>
      </c>
      <c r="O66" s="1" t="str">
        <f t="shared" si="5"/>
        <v/>
      </c>
    </row>
    <row r="67" spans="1:15" x14ac:dyDescent="0.2">
      <c r="A67" s="17">
        <v>2023</v>
      </c>
      <c r="B67" s="17" t="s">
        <v>20</v>
      </c>
      <c r="C67" s="17" t="s">
        <v>139</v>
      </c>
      <c r="D67" s="17" t="s">
        <v>141</v>
      </c>
      <c r="E67" s="17" t="s">
        <v>697</v>
      </c>
      <c r="F67" s="17" t="s">
        <v>139</v>
      </c>
      <c r="G67" s="17" t="s">
        <v>140</v>
      </c>
      <c r="H67" s="18">
        <f>ROUND(SUMPRODUCT(SUMIF(Final!$G$5:$G$331,CashReserveLevy!D67:F67,Final!$C$5:$C$331)),0)</f>
        <v>35037853</v>
      </c>
      <c r="I67" s="18">
        <f t="shared" si="4"/>
        <v>7007571</v>
      </c>
      <c r="J67" s="18">
        <f>ROUND(SUMPRODUCT(SUMIF(Final!$G$5:$G$331,CashReserveLevy!D67:F67,Final!$E$5:$E$331)),0)</f>
        <v>-1715371</v>
      </c>
      <c r="K67" s="18">
        <f t="shared" si="1"/>
        <v>8722942</v>
      </c>
      <c r="L67" s="18">
        <f>INDEX(ActualCRLevy_SAS!$A$2:$D$328,MATCH(CashReserveLevy!$C67,ActualCRLevy_SAS!$B$2:$B$328,0),4)</f>
        <v>4575000</v>
      </c>
      <c r="M67" s="19" t="str">
        <f t="shared" si="2"/>
        <v/>
      </c>
      <c r="N67" s="1" t="str">
        <f t="shared" si="3"/>
        <v/>
      </c>
      <c r="O67" s="1" t="str">
        <f t="shared" si="5"/>
        <v/>
      </c>
    </row>
    <row r="68" spans="1:15" x14ac:dyDescent="0.2">
      <c r="A68" s="17">
        <v>2023</v>
      </c>
      <c r="B68" s="17" t="s">
        <v>5</v>
      </c>
      <c r="C68" s="17" t="s">
        <v>142</v>
      </c>
      <c r="D68" s="17" t="s">
        <v>697</v>
      </c>
      <c r="E68" s="17" t="s">
        <v>697</v>
      </c>
      <c r="F68" s="17" t="s">
        <v>142</v>
      </c>
      <c r="G68" s="17" t="s">
        <v>143</v>
      </c>
      <c r="H68" s="18">
        <f>ROUND(SUMPRODUCT(SUMIF(Final!$G$5:$G$331,CashReserveLevy!D68:F68,Final!$C$5:$C$331)),0)</f>
        <v>16300231</v>
      </c>
      <c r="I68" s="18">
        <f t="shared" ref="I68:I131" si="6">ROUND(H68*0.2,0)</f>
        <v>3260046</v>
      </c>
      <c r="J68" s="18">
        <f>ROUND(SUMPRODUCT(SUMIF(Final!$G$5:$G$331,CashReserveLevy!D68:F68,Final!$E$5:$E$331)),0)</f>
        <v>4544427</v>
      </c>
      <c r="K68" s="18">
        <f t="shared" ref="K68:K131" si="7">IF(I68&gt;J68,I68-J68,0)</f>
        <v>0</v>
      </c>
      <c r="L68" s="18">
        <f>INDEX(ActualCRLevy_SAS!$A$2:$D$328,MATCH(CashReserveLevy!$C68,ActualCRLevy_SAS!$B$2:$B$328,0),4)</f>
        <v>0</v>
      </c>
      <c r="M68" s="19" t="str">
        <f t="shared" ref="M68:M131" si="8">IF(AND(L68=K68,K68&gt;0),"Max","")</f>
        <v/>
      </c>
      <c r="N68" s="1" t="str">
        <f t="shared" ref="N68:N131" si="9">IF(AND(L68&lt;K68,L68=0),"No Levy but have Capacity","")</f>
        <v/>
      </c>
      <c r="O68" s="1" t="str">
        <f t="shared" si="5"/>
        <v/>
      </c>
    </row>
    <row r="69" spans="1:15" x14ac:dyDescent="0.2">
      <c r="A69" s="17">
        <v>2023</v>
      </c>
      <c r="B69" s="17" t="s">
        <v>37</v>
      </c>
      <c r="C69" s="17" t="s">
        <v>144</v>
      </c>
      <c r="D69" s="17" t="s">
        <v>697</v>
      </c>
      <c r="E69" s="17" t="s">
        <v>697</v>
      </c>
      <c r="F69" s="17" t="s">
        <v>144</v>
      </c>
      <c r="G69" s="17" t="s">
        <v>145</v>
      </c>
      <c r="H69" s="18">
        <f>ROUND(SUMPRODUCT(SUMIF(Final!$G$5:$G$331,CashReserveLevy!D69:F69,Final!$C$5:$C$331)),0)</f>
        <v>46649974</v>
      </c>
      <c r="I69" s="18">
        <f t="shared" si="6"/>
        <v>9329995</v>
      </c>
      <c r="J69" s="18">
        <f>ROUND(SUMPRODUCT(SUMIF(Final!$G$5:$G$331,CashReserveLevy!D69:F69,Final!$E$5:$E$331)),0)</f>
        <v>11948250</v>
      </c>
      <c r="K69" s="18">
        <f t="shared" si="7"/>
        <v>0</v>
      </c>
      <c r="L69" s="18">
        <f>INDEX(ActualCRLevy_SAS!$A$2:$D$328,MATCH(CashReserveLevy!$C69,ActualCRLevy_SAS!$B$2:$B$328,0),4)</f>
        <v>0</v>
      </c>
      <c r="M69" s="19" t="str">
        <f t="shared" si="8"/>
        <v/>
      </c>
      <c r="N69" s="1" t="str">
        <f t="shared" si="9"/>
        <v/>
      </c>
      <c r="O69" s="1" t="str">
        <f t="shared" si="5"/>
        <v/>
      </c>
    </row>
    <row r="70" spans="1:15" x14ac:dyDescent="0.2">
      <c r="A70" s="17">
        <v>2023</v>
      </c>
      <c r="B70" s="17" t="s">
        <v>0</v>
      </c>
      <c r="C70" s="17" t="s">
        <v>146</v>
      </c>
      <c r="D70" s="17" t="s">
        <v>697</v>
      </c>
      <c r="E70" s="17" t="s">
        <v>697</v>
      </c>
      <c r="F70" s="17" t="s">
        <v>146</v>
      </c>
      <c r="G70" s="17" t="s">
        <v>147</v>
      </c>
      <c r="H70" s="18">
        <f>ROUND(SUMPRODUCT(SUMIF(Final!$G$5:$G$331,CashReserveLevy!D70:F70,Final!$C$5:$C$331)),0)</f>
        <v>9519011</v>
      </c>
      <c r="I70" s="18">
        <f t="shared" si="6"/>
        <v>1903802</v>
      </c>
      <c r="J70" s="18">
        <f>ROUND(SUMPRODUCT(SUMIF(Final!$G$5:$G$331,CashReserveLevy!D70:F70,Final!$E$5:$E$331)),0)</f>
        <v>1567881</v>
      </c>
      <c r="K70" s="18">
        <f t="shared" si="7"/>
        <v>335921</v>
      </c>
      <c r="L70" s="18">
        <f>INDEX(ActualCRLevy_SAS!$A$2:$D$328,MATCH(CashReserveLevy!$C70,ActualCRLevy_SAS!$B$2:$B$328,0),4)</f>
        <v>335921</v>
      </c>
      <c r="M70" s="19" t="str">
        <f t="shared" si="8"/>
        <v>Max</v>
      </c>
      <c r="N70" s="1" t="str">
        <f t="shared" si="9"/>
        <v/>
      </c>
      <c r="O70" s="1" t="str">
        <f t="shared" si="5"/>
        <v/>
      </c>
    </row>
    <row r="71" spans="1:15" x14ac:dyDescent="0.2">
      <c r="A71" s="17">
        <v>2023</v>
      </c>
      <c r="B71" s="17" t="s">
        <v>20</v>
      </c>
      <c r="C71" s="17" t="s">
        <v>148</v>
      </c>
      <c r="D71" s="17" t="s">
        <v>697</v>
      </c>
      <c r="E71" s="17" t="s">
        <v>697</v>
      </c>
      <c r="F71" s="17" t="s">
        <v>148</v>
      </c>
      <c r="G71" s="17" t="s">
        <v>149</v>
      </c>
      <c r="H71" s="18">
        <f>ROUND(SUMPRODUCT(SUMIF(Final!$G$5:$G$331,CashReserveLevy!D71:F71,Final!$C$5:$C$331)),0)</f>
        <v>65808250</v>
      </c>
      <c r="I71" s="18">
        <f t="shared" si="6"/>
        <v>13161650</v>
      </c>
      <c r="J71" s="18">
        <f>ROUND(SUMPRODUCT(SUMIF(Final!$G$5:$G$331,CashReserveLevy!D71:F71,Final!$E$5:$E$331)),0)</f>
        <v>13490981</v>
      </c>
      <c r="K71" s="18">
        <f t="shared" si="7"/>
        <v>0</v>
      </c>
      <c r="L71" s="18">
        <f>INDEX(ActualCRLevy_SAS!$A$2:$D$328,MATCH(CashReserveLevy!$C71,ActualCRLevy_SAS!$B$2:$B$328,0),4)</f>
        <v>0</v>
      </c>
      <c r="M71" s="19" t="str">
        <f t="shared" si="8"/>
        <v/>
      </c>
      <c r="N71" s="1" t="str">
        <f t="shared" si="9"/>
        <v/>
      </c>
      <c r="O71" s="1" t="str">
        <f t="shared" si="5"/>
        <v/>
      </c>
    </row>
    <row r="72" spans="1:15" x14ac:dyDescent="0.2">
      <c r="A72" s="17">
        <v>2023</v>
      </c>
      <c r="B72" s="17" t="s">
        <v>0</v>
      </c>
      <c r="C72" s="17" t="s">
        <v>150</v>
      </c>
      <c r="D72" s="17" t="s">
        <v>697</v>
      </c>
      <c r="E72" s="17" t="s">
        <v>697</v>
      </c>
      <c r="F72" s="17" t="s">
        <v>150</v>
      </c>
      <c r="G72" s="17" t="s">
        <v>151</v>
      </c>
      <c r="H72" s="18">
        <f>ROUND(SUMPRODUCT(SUMIF(Final!$G$5:$G$331,CashReserveLevy!D72:F72,Final!$C$5:$C$331)),0)</f>
        <v>5663797</v>
      </c>
      <c r="I72" s="18">
        <f t="shared" si="6"/>
        <v>1132759</v>
      </c>
      <c r="J72" s="18">
        <f>ROUND(SUMPRODUCT(SUMIF(Final!$G$5:$G$331,CashReserveLevy!D72:F72,Final!$E$5:$E$331)),0)</f>
        <v>15498</v>
      </c>
      <c r="K72" s="18">
        <f t="shared" si="7"/>
        <v>1117261</v>
      </c>
      <c r="L72" s="18">
        <f>INDEX(ActualCRLevy_SAS!$A$2:$D$328,MATCH(CashReserveLevy!$C72,ActualCRLevy_SAS!$B$2:$B$328,0),4)</f>
        <v>828701</v>
      </c>
      <c r="M72" s="19" t="str">
        <f t="shared" si="8"/>
        <v/>
      </c>
      <c r="N72" s="1" t="str">
        <f t="shared" si="9"/>
        <v/>
      </c>
      <c r="O72" s="1" t="str">
        <f t="shared" si="5"/>
        <v/>
      </c>
    </row>
    <row r="73" spans="1:15" x14ac:dyDescent="0.2">
      <c r="A73" s="17">
        <v>2023</v>
      </c>
      <c r="B73" s="17" t="s">
        <v>0</v>
      </c>
      <c r="C73" s="17" t="s">
        <v>152</v>
      </c>
      <c r="D73" s="17" t="s">
        <v>697</v>
      </c>
      <c r="E73" s="17" t="s">
        <v>697</v>
      </c>
      <c r="F73" s="17" t="s">
        <v>152</v>
      </c>
      <c r="G73" s="17" t="s">
        <v>153</v>
      </c>
      <c r="H73" s="18">
        <f>ROUND(SUMPRODUCT(SUMIF(Final!$G$5:$G$331,CashReserveLevy!D73:F73,Final!$C$5:$C$331)),0)</f>
        <v>6415335</v>
      </c>
      <c r="I73" s="18">
        <f t="shared" si="6"/>
        <v>1283067</v>
      </c>
      <c r="J73" s="18">
        <f>ROUND(SUMPRODUCT(SUMIF(Final!$G$5:$G$331,CashReserveLevy!D73:F73,Final!$E$5:$E$331)),0)</f>
        <v>531962</v>
      </c>
      <c r="K73" s="18">
        <f t="shared" si="7"/>
        <v>751105</v>
      </c>
      <c r="L73" s="18">
        <f>INDEX(ActualCRLevy_SAS!$A$2:$D$328,MATCH(CashReserveLevy!$C73,ActualCRLevy_SAS!$B$2:$B$328,0),4)</f>
        <v>426890</v>
      </c>
      <c r="M73" s="19" t="str">
        <f t="shared" si="8"/>
        <v/>
      </c>
      <c r="N73" s="1" t="str">
        <f t="shared" si="9"/>
        <v/>
      </c>
      <c r="O73" s="1" t="str">
        <f t="shared" si="5"/>
        <v/>
      </c>
    </row>
    <row r="74" spans="1:15" x14ac:dyDescent="0.2">
      <c r="A74" s="17">
        <v>2023</v>
      </c>
      <c r="B74" s="17" t="s">
        <v>37</v>
      </c>
      <c r="C74" s="17" t="s">
        <v>154</v>
      </c>
      <c r="D74" s="17" t="s">
        <v>697</v>
      </c>
      <c r="E74" s="17" t="s">
        <v>697</v>
      </c>
      <c r="F74" s="17" t="s">
        <v>154</v>
      </c>
      <c r="G74" s="17" t="s">
        <v>155</v>
      </c>
      <c r="H74" s="18">
        <f>ROUND(SUMPRODUCT(SUMIF(Final!$G$5:$G$331,CashReserveLevy!D74:F74,Final!$C$5:$C$331)),0)</f>
        <v>9373785</v>
      </c>
      <c r="I74" s="18">
        <f t="shared" si="6"/>
        <v>1874757</v>
      </c>
      <c r="J74" s="18">
        <f>ROUND(SUMPRODUCT(SUMIF(Final!$G$5:$G$331,CashReserveLevy!D74:F74,Final!$E$5:$E$331)),0)</f>
        <v>4106007</v>
      </c>
      <c r="K74" s="18">
        <f t="shared" si="7"/>
        <v>0</v>
      </c>
      <c r="L74" s="18">
        <f>INDEX(ActualCRLevy_SAS!$A$2:$D$328,MATCH(CashReserveLevy!$C74,ActualCRLevy_SAS!$B$2:$B$328,0),4)</f>
        <v>0</v>
      </c>
      <c r="M74" s="19" t="str">
        <f t="shared" si="8"/>
        <v/>
      </c>
      <c r="N74" s="1" t="str">
        <f t="shared" si="9"/>
        <v/>
      </c>
      <c r="O74" s="1" t="str">
        <f t="shared" si="5"/>
        <v/>
      </c>
    </row>
    <row r="75" spans="1:15" x14ac:dyDescent="0.2">
      <c r="A75" s="17">
        <v>2023</v>
      </c>
      <c r="B75" s="17" t="s">
        <v>0</v>
      </c>
      <c r="C75" s="17" t="s">
        <v>156</v>
      </c>
      <c r="D75" s="17" t="s">
        <v>697</v>
      </c>
      <c r="E75" s="17" t="s">
        <v>697</v>
      </c>
      <c r="F75" s="17" t="s">
        <v>156</v>
      </c>
      <c r="G75" s="17" t="s">
        <v>157</v>
      </c>
      <c r="H75" s="18">
        <f>ROUND(SUMPRODUCT(SUMIF(Final!$G$5:$G$331,CashReserveLevy!D75:F75,Final!$C$5:$C$331)),0)</f>
        <v>5626859</v>
      </c>
      <c r="I75" s="18">
        <f t="shared" si="6"/>
        <v>1125372</v>
      </c>
      <c r="J75" s="18">
        <f>ROUND(SUMPRODUCT(SUMIF(Final!$G$5:$G$331,CashReserveLevy!D75:F75,Final!$E$5:$E$331)),0)</f>
        <v>1896456</v>
      </c>
      <c r="K75" s="18">
        <f t="shared" si="7"/>
        <v>0</v>
      </c>
      <c r="L75" s="18">
        <f>INDEX(ActualCRLevy_SAS!$A$2:$D$328,MATCH(CashReserveLevy!$C75,ActualCRLevy_SAS!$B$2:$B$328,0),4)</f>
        <v>0</v>
      </c>
      <c r="M75" s="19" t="str">
        <f t="shared" si="8"/>
        <v/>
      </c>
      <c r="N75" s="1" t="str">
        <f t="shared" si="9"/>
        <v/>
      </c>
      <c r="O75" s="1" t="str">
        <f t="shared" si="5"/>
        <v/>
      </c>
    </row>
    <row r="76" spans="1:15" x14ac:dyDescent="0.2">
      <c r="A76" s="17">
        <v>2023</v>
      </c>
      <c r="B76" s="17" t="s">
        <v>8</v>
      </c>
      <c r="C76" s="17" t="s">
        <v>158</v>
      </c>
      <c r="D76" s="17" t="s">
        <v>697</v>
      </c>
      <c r="E76" s="17" t="s">
        <v>697</v>
      </c>
      <c r="F76" s="17" t="s">
        <v>158</v>
      </c>
      <c r="G76" s="17" t="s">
        <v>159</v>
      </c>
      <c r="H76" s="18">
        <f>ROUND(SUMPRODUCT(SUMIF(Final!$G$5:$G$331,CashReserveLevy!D76:F76,Final!$C$5:$C$331)),0)</f>
        <v>6929995</v>
      </c>
      <c r="I76" s="18">
        <f t="shared" si="6"/>
        <v>1385999</v>
      </c>
      <c r="J76" s="18">
        <f>ROUND(SUMPRODUCT(SUMIF(Final!$G$5:$G$331,CashReserveLevy!D76:F76,Final!$E$5:$E$331)),0)</f>
        <v>1727761</v>
      </c>
      <c r="K76" s="18">
        <f t="shared" si="7"/>
        <v>0</v>
      </c>
      <c r="L76" s="18">
        <f>INDEX(ActualCRLevy_SAS!$A$2:$D$328,MATCH(CashReserveLevy!$C76,ActualCRLevy_SAS!$B$2:$B$328,0),4)</f>
        <v>0</v>
      </c>
      <c r="M76" s="19" t="str">
        <f t="shared" si="8"/>
        <v/>
      </c>
      <c r="N76" s="1" t="str">
        <f t="shared" si="9"/>
        <v/>
      </c>
      <c r="O76" s="1" t="str">
        <f t="shared" si="5"/>
        <v/>
      </c>
    </row>
    <row r="77" spans="1:15" x14ac:dyDescent="0.2">
      <c r="A77" s="17">
        <v>2023</v>
      </c>
      <c r="B77" s="17" t="s">
        <v>8</v>
      </c>
      <c r="C77" s="17" t="s">
        <v>160</v>
      </c>
      <c r="D77" s="17" t="s">
        <v>697</v>
      </c>
      <c r="E77" s="17" t="s">
        <v>697</v>
      </c>
      <c r="F77" s="17" t="s">
        <v>160</v>
      </c>
      <c r="G77" s="17" t="s">
        <v>161</v>
      </c>
      <c r="H77" s="18">
        <f>ROUND(SUMPRODUCT(SUMIF(Final!$G$5:$G$331,CashReserveLevy!D77:F77,Final!$C$5:$C$331)),0)</f>
        <v>125256442</v>
      </c>
      <c r="I77" s="18">
        <f t="shared" si="6"/>
        <v>25051288</v>
      </c>
      <c r="J77" s="18">
        <f>ROUND(SUMPRODUCT(SUMIF(Final!$G$5:$G$331,CashReserveLevy!D77:F77,Final!$E$5:$E$331)),0)</f>
        <v>14917523</v>
      </c>
      <c r="K77" s="18">
        <f t="shared" si="7"/>
        <v>10133765</v>
      </c>
      <c r="L77" s="18">
        <f>INDEX(ActualCRLevy_SAS!$A$2:$D$328,MATCH(CashReserveLevy!$C77,ActualCRLevy_SAS!$B$2:$B$328,0),4)</f>
        <v>5250000</v>
      </c>
      <c r="M77" s="19" t="str">
        <f t="shared" si="8"/>
        <v/>
      </c>
      <c r="N77" s="1" t="str">
        <f t="shared" si="9"/>
        <v/>
      </c>
      <c r="O77" s="1" t="str">
        <f t="shared" ref="O77:O140" si="10">IF(L77&gt;K77,"Exceedes Maximum Limit","")</f>
        <v/>
      </c>
    </row>
    <row r="78" spans="1:15" x14ac:dyDescent="0.2">
      <c r="A78" s="17">
        <v>2023</v>
      </c>
      <c r="B78" s="17" t="s">
        <v>8</v>
      </c>
      <c r="C78" s="17" t="s">
        <v>162</v>
      </c>
      <c r="D78" s="17" t="s">
        <v>164</v>
      </c>
      <c r="E78" s="17" t="s">
        <v>697</v>
      </c>
      <c r="F78" s="17" t="s">
        <v>162</v>
      </c>
      <c r="G78" s="17" t="s">
        <v>163</v>
      </c>
      <c r="H78" s="18">
        <f>ROUND(SUMPRODUCT(SUMIF(Final!$G$5:$G$331,CashReserveLevy!D78:F78,Final!$C$5:$C$331)),0)</f>
        <v>19759141</v>
      </c>
      <c r="I78" s="18">
        <f t="shared" si="6"/>
        <v>3951828</v>
      </c>
      <c r="J78" s="18">
        <f>ROUND(SUMPRODUCT(SUMIF(Final!$G$5:$G$331,CashReserveLevy!D78:F78,Final!$E$5:$E$331)),0)</f>
        <v>2138962</v>
      </c>
      <c r="K78" s="18">
        <f t="shared" si="7"/>
        <v>1812866</v>
      </c>
      <c r="L78" s="18">
        <f>INDEX(ActualCRLevy_SAS!$A$2:$D$328,MATCH(CashReserveLevy!$C78,ActualCRLevy_SAS!$B$2:$B$328,0),4)</f>
        <v>1196000</v>
      </c>
      <c r="M78" s="19" t="str">
        <f t="shared" si="8"/>
        <v/>
      </c>
      <c r="N78" s="1" t="str">
        <f t="shared" si="9"/>
        <v/>
      </c>
      <c r="O78" s="1" t="str">
        <f t="shared" si="10"/>
        <v/>
      </c>
    </row>
    <row r="79" spans="1:15" x14ac:dyDescent="0.2">
      <c r="A79" s="17">
        <v>2023</v>
      </c>
      <c r="B79" s="17" t="s">
        <v>0</v>
      </c>
      <c r="C79" s="17" t="s">
        <v>165</v>
      </c>
      <c r="D79" s="17" t="s">
        <v>697</v>
      </c>
      <c r="E79" s="17" t="s">
        <v>697</v>
      </c>
      <c r="F79" s="17" t="s">
        <v>165</v>
      </c>
      <c r="G79" s="17" t="s">
        <v>166</v>
      </c>
      <c r="H79" s="18">
        <f>ROUND(SUMPRODUCT(SUMIF(Final!$G$5:$G$331,CashReserveLevy!D79:F79,Final!$C$5:$C$331)),0)</f>
        <v>37523345</v>
      </c>
      <c r="I79" s="18">
        <f t="shared" si="6"/>
        <v>7504669</v>
      </c>
      <c r="J79" s="18">
        <f>ROUND(SUMPRODUCT(SUMIF(Final!$G$5:$G$331,CashReserveLevy!D79:F79,Final!$E$5:$E$331)),0)</f>
        <v>4445513</v>
      </c>
      <c r="K79" s="18">
        <f t="shared" si="7"/>
        <v>3059156</v>
      </c>
      <c r="L79" s="18">
        <f>INDEX(ActualCRLevy_SAS!$A$2:$D$328,MATCH(CashReserveLevy!$C79,ActualCRLevy_SAS!$B$2:$B$328,0),4)</f>
        <v>3059156</v>
      </c>
      <c r="M79" s="19" t="str">
        <f t="shared" si="8"/>
        <v>Max</v>
      </c>
      <c r="N79" s="1" t="str">
        <f t="shared" si="9"/>
        <v/>
      </c>
      <c r="O79" s="1" t="str">
        <f t="shared" si="10"/>
        <v/>
      </c>
    </row>
    <row r="80" spans="1:15" x14ac:dyDescent="0.2">
      <c r="A80" s="17">
        <v>2023</v>
      </c>
      <c r="B80" s="17" t="s">
        <v>17</v>
      </c>
      <c r="C80" s="17" t="s">
        <v>167</v>
      </c>
      <c r="D80" s="17" t="s">
        <v>697</v>
      </c>
      <c r="E80" s="17" t="s">
        <v>697</v>
      </c>
      <c r="F80" s="17" t="s">
        <v>167</v>
      </c>
      <c r="G80" s="17" t="s">
        <v>168</v>
      </c>
      <c r="H80" s="18">
        <f>ROUND(SUMPRODUCT(SUMIF(Final!$G$5:$G$331,CashReserveLevy!D80:F80,Final!$C$5:$C$331)),0)</f>
        <v>7427029</v>
      </c>
      <c r="I80" s="18">
        <f t="shared" si="6"/>
        <v>1485406</v>
      </c>
      <c r="J80" s="18">
        <f>ROUND(SUMPRODUCT(SUMIF(Final!$G$5:$G$331,CashReserveLevy!D80:F80,Final!$E$5:$E$331)),0)</f>
        <v>1800100</v>
      </c>
      <c r="K80" s="18">
        <f t="shared" si="7"/>
        <v>0</v>
      </c>
      <c r="L80" s="18">
        <f>INDEX(ActualCRLevy_SAS!$A$2:$D$328,MATCH(CashReserveLevy!$C80,ActualCRLevy_SAS!$B$2:$B$328,0),4)</f>
        <v>0</v>
      </c>
      <c r="M80" s="19" t="str">
        <f t="shared" si="8"/>
        <v/>
      </c>
      <c r="N80" s="1" t="str">
        <f t="shared" si="9"/>
        <v/>
      </c>
      <c r="O80" s="1" t="str">
        <f t="shared" si="10"/>
        <v/>
      </c>
    </row>
    <row r="81" spans="1:15" x14ac:dyDescent="0.2">
      <c r="A81" s="17">
        <v>2023</v>
      </c>
      <c r="B81" s="17" t="s">
        <v>37</v>
      </c>
      <c r="C81" s="17" t="s">
        <v>169</v>
      </c>
      <c r="D81" s="17" t="s">
        <v>697</v>
      </c>
      <c r="E81" s="17" t="s">
        <v>697</v>
      </c>
      <c r="F81" s="17" t="s">
        <v>169</v>
      </c>
      <c r="G81" s="17" t="s">
        <v>170</v>
      </c>
      <c r="H81" s="18">
        <f>ROUND(SUMPRODUCT(SUMIF(Final!$G$5:$G$331,CashReserveLevy!D81:F81,Final!$C$5:$C$331)),0)</f>
        <v>192190720</v>
      </c>
      <c r="I81" s="18">
        <f t="shared" si="6"/>
        <v>38438144</v>
      </c>
      <c r="J81" s="18">
        <f>ROUND(SUMPRODUCT(SUMIF(Final!$G$5:$G$331,CashReserveLevy!D81:F81,Final!$E$5:$E$331)),0)</f>
        <v>22901178</v>
      </c>
      <c r="K81" s="18">
        <f t="shared" si="7"/>
        <v>15536966</v>
      </c>
      <c r="L81" s="18">
        <f>INDEX(ActualCRLevy_SAS!$A$2:$D$328,MATCH(CashReserveLevy!$C81,ActualCRLevy_SAS!$B$2:$B$328,0),4)</f>
        <v>11523181</v>
      </c>
      <c r="M81" s="19" t="str">
        <f t="shared" si="8"/>
        <v/>
      </c>
      <c r="N81" s="1" t="str">
        <f t="shared" si="9"/>
        <v/>
      </c>
      <c r="O81" s="1" t="str">
        <f t="shared" si="10"/>
        <v/>
      </c>
    </row>
    <row r="82" spans="1:15" x14ac:dyDescent="0.2">
      <c r="A82" s="17">
        <v>2023</v>
      </c>
      <c r="B82" s="17" t="s">
        <v>17</v>
      </c>
      <c r="C82" s="17" t="s">
        <v>171</v>
      </c>
      <c r="D82" s="17" t="s">
        <v>697</v>
      </c>
      <c r="E82" s="17" t="s">
        <v>697</v>
      </c>
      <c r="F82" s="17" t="s">
        <v>171</v>
      </c>
      <c r="G82" s="17" t="s">
        <v>172</v>
      </c>
      <c r="H82" s="18">
        <f>ROUND(SUMPRODUCT(SUMIF(Final!$G$5:$G$331,CashReserveLevy!D82:F82,Final!$C$5:$C$331)),0)</f>
        <v>15530738</v>
      </c>
      <c r="I82" s="18">
        <f t="shared" si="6"/>
        <v>3106148</v>
      </c>
      <c r="J82" s="18">
        <f>ROUND(SUMPRODUCT(SUMIF(Final!$G$5:$G$331,CashReserveLevy!D82:F82,Final!$E$5:$E$331)),0)</f>
        <v>3816822</v>
      </c>
      <c r="K82" s="18">
        <f t="shared" si="7"/>
        <v>0</v>
      </c>
      <c r="L82" s="18">
        <f>INDEX(ActualCRLevy_SAS!$A$2:$D$328,MATCH(CashReserveLevy!$C82,ActualCRLevy_SAS!$B$2:$B$328,0),4)</f>
        <v>0</v>
      </c>
      <c r="M82" s="19" t="str">
        <f t="shared" si="8"/>
        <v/>
      </c>
      <c r="N82" s="1" t="str">
        <f t="shared" si="9"/>
        <v/>
      </c>
      <c r="O82" s="1" t="str">
        <f t="shared" si="10"/>
        <v/>
      </c>
    </row>
    <row r="83" spans="1:15" x14ac:dyDescent="0.2">
      <c r="A83" s="17">
        <v>2023</v>
      </c>
      <c r="B83" s="17" t="s">
        <v>28</v>
      </c>
      <c r="C83" s="17" t="s">
        <v>173</v>
      </c>
      <c r="D83" s="17" t="s">
        <v>697</v>
      </c>
      <c r="E83" s="17" t="s">
        <v>697</v>
      </c>
      <c r="F83" s="17" t="s">
        <v>173</v>
      </c>
      <c r="G83" s="17" t="s">
        <v>174</v>
      </c>
      <c r="H83" s="18">
        <f>ROUND(SUMPRODUCT(SUMIF(Final!$G$5:$G$331,CashReserveLevy!D83:F83,Final!$C$5:$C$331)),0)</f>
        <v>21322468</v>
      </c>
      <c r="I83" s="18">
        <f t="shared" si="6"/>
        <v>4264494</v>
      </c>
      <c r="J83" s="18">
        <f>ROUND(SUMPRODUCT(SUMIF(Final!$G$5:$G$331,CashReserveLevy!D83:F83,Final!$E$5:$E$331)),0)</f>
        <v>4051200</v>
      </c>
      <c r="K83" s="18">
        <f t="shared" si="7"/>
        <v>213294</v>
      </c>
      <c r="L83" s="18">
        <f>INDEX(ActualCRLevy_SAS!$A$2:$D$328,MATCH(CashReserveLevy!$C83,ActualCRLevy_SAS!$B$2:$B$328,0),4)</f>
        <v>213294</v>
      </c>
      <c r="M83" s="19" t="str">
        <f t="shared" si="8"/>
        <v>Max</v>
      </c>
      <c r="N83" s="1" t="str">
        <f t="shared" si="9"/>
        <v/>
      </c>
      <c r="O83" s="1" t="str">
        <f t="shared" si="10"/>
        <v/>
      </c>
    </row>
    <row r="84" spans="1:15" x14ac:dyDescent="0.2">
      <c r="A84" s="17">
        <v>2023</v>
      </c>
      <c r="B84" s="17" t="s">
        <v>37</v>
      </c>
      <c r="C84" s="17" t="s">
        <v>175</v>
      </c>
      <c r="D84" s="17" t="s">
        <v>697</v>
      </c>
      <c r="E84" s="17" t="s">
        <v>697</v>
      </c>
      <c r="F84" s="17" t="s">
        <v>175</v>
      </c>
      <c r="G84" s="17" t="s">
        <v>176</v>
      </c>
      <c r="H84" s="18">
        <f>ROUND(SUMPRODUCT(SUMIF(Final!$G$5:$G$331,CashReserveLevy!D84:F84,Final!$C$5:$C$331)),0)</f>
        <v>3261757</v>
      </c>
      <c r="I84" s="18">
        <f t="shared" si="6"/>
        <v>652351</v>
      </c>
      <c r="J84" s="18">
        <f>ROUND(SUMPRODUCT(SUMIF(Final!$G$5:$G$331,CashReserveLevy!D84:F84,Final!$E$5:$E$331)),0)</f>
        <v>846939</v>
      </c>
      <c r="K84" s="18">
        <f t="shared" si="7"/>
        <v>0</v>
      </c>
      <c r="L84" s="18">
        <f>INDEX(ActualCRLevy_SAS!$A$2:$D$328,MATCH(CashReserveLevy!$C84,ActualCRLevy_SAS!$B$2:$B$328,0),4)</f>
        <v>0</v>
      </c>
      <c r="M84" s="19" t="str">
        <f t="shared" si="8"/>
        <v/>
      </c>
      <c r="N84" s="1" t="str">
        <f t="shared" si="9"/>
        <v/>
      </c>
      <c r="O84" s="1" t="str">
        <f t="shared" si="10"/>
        <v/>
      </c>
    </row>
    <row r="85" spans="1:15" x14ac:dyDescent="0.2">
      <c r="A85" s="17">
        <v>2023</v>
      </c>
      <c r="B85" s="17" t="s">
        <v>11</v>
      </c>
      <c r="C85" s="17" t="s">
        <v>177</v>
      </c>
      <c r="D85" s="17" t="s">
        <v>697</v>
      </c>
      <c r="E85" s="17" t="s">
        <v>697</v>
      </c>
      <c r="F85" s="17" t="s">
        <v>177</v>
      </c>
      <c r="G85" s="17" t="s">
        <v>178</v>
      </c>
      <c r="H85" s="18">
        <f>ROUND(SUMPRODUCT(SUMIF(Final!$G$5:$G$331,CashReserveLevy!D85:F85,Final!$C$5:$C$331)),0)</f>
        <v>26689381</v>
      </c>
      <c r="I85" s="18">
        <f t="shared" si="6"/>
        <v>5337876</v>
      </c>
      <c r="J85" s="18">
        <f>ROUND(SUMPRODUCT(SUMIF(Final!$G$5:$G$331,CashReserveLevy!D85:F85,Final!$E$5:$E$331)),0)</f>
        <v>9247938</v>
      </c>
      <c r="K85" s="18">
        <f t="shared" si="7"/>
        <v>0</v>
      </c>
      <c r="L85" s="18">
        <f>INDEX(ActualCRLevy_SAS!$A$2:$D$328,MATCH(CashReserveLevy!$C85,ActualCRLevy_SAS!$B$2:$B$328,0),4)</f>
        <v>0</v>
      </c>
      <c r="M85" s="19" t="str">
        <f t="shared" si="8"/>
        <v/>
      </c>
      <c r="N85" s="1" t="str">
        <f t="shared" si="9"/>
        <v/>
      </c>
      <c r="O85" s="1" t="str">
        <f t="shared" si="10"/>
        <v/>
      </c>
    </row>
    <row r="86" spans="1:15" x14ac:dyDescent="0.2">
      <c r="A86" s="17">
        <v>2023</v>
      </c>
      <c r="B86" s="17" t="s">
        <v>5</v>
      </c>
      <c r="C86" s="17" t="s">
        <v>179</v>
      </c>
      <c r="D86" s="17" t="s">
        <v>697</v>
      </c>
      <c r="E86" s="17" t="s">
        <v>697</v>
      </c>
      <c r="F86" s="17" t="s">
        <v>179</v>
      </c>
      <c r="G86" s="17" t="s">
        <v>180</v>
      </c>
      <c r="H86" s="18">
        <f>ROUND(SUMPRODUCT(SUMIF(Final!$G$5:$G$331,CashReserveLevy!D86:F86,Final!$C$5:$C$331)),0)</f>
        <v>9982756</v>
      </c>
      <c r="I86" s="18">
        <f t="shared" si="6"/>
        <v>1996551</v>
      </c>
      <c r="J86" s="18">
        <f>ROUND(SUMPRODUCT(SUMIF(Final!$G$5:$G$331,CashReserveLevy!D86:F86,Final!$E$5:$E$331)),0)</f>
        <v>1055284</v>
      </c>
      <c r="K86" s="18">
        <f t="shared" si="7"/>
        <v>941267</v>
      </c>
      <c r="L86" s="18">
        <f>INDEX(ActualCRLevy_SAS!$A$2:$D$328,MATCH(CashReserveLevy!$C86,ActualCRLevy_SAS!$B$2:$B$328,0),4)</f>
        <v>400000</v>
      </c>
      <c r="M86" s="19" t="str">
        <f t="shared" si="8"/>
        <v/>
      </c>
      <c r="N86" s="1" t="str">
        <f t="shared" si="9"/>
        <v/>
      </c>
      <c r="O86" s="1" t="str">
        <f t="shared" si="10"/>
        <v/>
      </c>
    </row>
    <row r="87" spans="1:15" x14ac:dyDescent="0.2">
      <c r="A87" s="17">
        <v>2023</v>
      </c>
      <c r="B87" s="17" t="s">
        <v>0</v>
      </c>
      <c r="C87" s="17" t="s">
        <v>181</v>
      </c>
      <c r="D87" s="17" t="s">
        <v>697</v>
      </c>
      <c r="E87" s="17" t="s">
        <v>697</v>
      </c>
      <c r="F87" s="17" t="s">
        <v>181</v>
      </c>
      <c r="G87" s="17" t="s">
        <v>182</v>
      </c>
      <c r="H87" s="18">
        <f>ROUND(SUMPRODUCT(SUMIF(Final!$G$5:$G$331,CashReserveLevy!D87:F87,Final!$C$5:$C$331)),0)</f>
        <v>451695723</v>
      </c>
      <c r="I87" s="18">
        <f t="shared" si="6"/>
        <v>90339145</v>
      </c>
      <c r="J87" s="18">
        <f>ROUND(SUMPRODUCT(SUMIF(Final!$G$5:$G$331,CashReserveLevy!D87:F87,Final!$E$5:$E$331)),0)</f>
        <v>157981834</v>
      </c>
      <c r="K87" s="18">
        <f t="shared" si="7"/>
        <v>0</v>
      </c>
      <c r="L87" s="18">
        <f>INDEX(ActualCRLevy_SAS!$A$2:$D$328,MATCH(CashReserveLevy!$C87,ActualCRLevy_SAS!$B$2:$B$328,0),4)</f>
        <v>0</v>
      </c>
      <c r="M87" s="19" t="str">
        <f t="shared" si="8"/>
        <v/>
      </c>
      <c r="N87" s="1" t="str">
        <f t="shared" si="9"/>
        <v/>
      </c>
      <c r="O87" s="1" t="str">
        <f t="shared" si="10"/>
        <v/>
      </c>
    </row>
    <row r="88" spans="1:15" x14ac:dyDescent="0.2">
      <c r="A88" s="17">
        <v>2023</v>
      </c>
      <c r="B88" s="17" t="s">
        <v>8</v>
      </c>
      <c r="C88" s="17" t="s">
        <v>183</v>
      </c>
      <c r="D88" s="17" t="s">
        <v>697</v>
      </c>
      <c r="E88" s="17" t="s">
        <v>697</v>
      </c>
      <c r="F88" s="17" t="s">
        <v>183</v>
      </c>
      <c r="G88" s="17" t="s">
        <v>184</v>
      </c>
      <c r="H88" s="18">
        <f>ROUND(SUMPRODUCT(SUMIF(Final!$G$5:$G$331,CashReserveLevy!D88:F88,Final!$C$5:$C$331)),0)</f>
        <v>2019878</v>
      </c>
      <c r="I88" s="18">
        <f t="shared" si="6"/>
        <v>403976</v>
      </c>
      <c r="J88" s="18">
        <f>ROUND(SUMPRODUCT(SUMIF(Final!$G$5:$G$331,CashReserveLevy!D88:F88,Final!$E$5:$E$331)),0)</f>
        <v>240837</v>
      </c>
      <c r="K88" s="18">
        <f t="shared" si="7"/>
        <v>163139</v>
      </c>
      <c r="L88" s="18">
        <f>INDEX(ActualCRLevy_SAS!$A$2:$D$328,MATCH(CashReserveLevy!$C88,ActualCRLevy_SAS!$B$2:$B$328,0),4)</f>
        <v>163139</v>
      </c>
      <c r="M88" s="19" t="str">
        <f t="shared" si="8"/>
        <v>Max</v>
      </c>
      <c r="N88" s="1" t="str">
        <f t="shared" si="9"/>
        <v/>
      </c>
      <c r="O88" s="1" t="str">
        <f t="shared" si="10"/>
        <v/>
      </c>
    </row>
    <row r="89" spans="1:15" x14ac:dyDescent="0.2">
      <c r="A89" s="17">
        <v>2023</v>
      </c>
      <c r="B89" s="17" t="s">
        <v>5</v>
      </c>
      <c r="C89" s="17" t="s">
        <v>185</v>
      </c>
      <c r="D89" s="17" t="s">
        <v>697</v>
      </c>
      <c r="E89" s="17" t="s">
        <v>697</v>
      </c>
      <c r="F89" s="17" t="s">
        <v>185</v>
      </c>
      <c r="G89" s="17" t="s">
        <v>186</v>
      </c>
      <c r="H89" s="18">
        <f>ROUND(SUMPRODUCT(SUMIF(Final!$G$5:$G$331,CashReserveLevy!D89:F89,Final!$C$5:$C$331)),0)</f>
        <v>10998317</v>
      </c>
      <c r="I89" s="18">
        <f t="shared" si="6"/>
        <v>2199663</v>
      </c>
      <c r="J89" s="18">
        <f>ROUND(SUMPRODUCT(SUMIF(Final!$G$5:$G$331,CashReserveLevy!D89:F89,Final!$E$5:$E$331)),0)</f>
        <v>1685754</v>
      </c>
      <c r="K89" s="18">
        <f t="shared" si="7"/>
        <v>513909</v>
      </c>
      <c r="L89" s="18">
        <f>INDEX(ActualCRLevy_SAS!$A$2:$D$328,MATCH(CashReserveLevy!$C89,ActualCRLevy_SAS!$B$2:$B$328,0),4)</f>
        <v>385000</v>
      </c>
      <c r="M89" s="19" t="str">
        <f t="shared" si="8"/>
        <v/>
      </c>
      <c r="N89" s="1" t="str">
        <f t="shared" si="9"/>
        <v/>
      </c>
      <c r="O89" s="1" t="str">
        <f t="shared" si="10"/>
        <v/>
      </c>
    </row>
    <row r="90" spans="1:15" x14ac:dyDescent="0.2">
      <c r="A90" s="17">
        <v>2023</v>
      </c>
      <c r="B90" s="17" t="s">
        <v>28</v>
      </c>
      <c r="C90" s="17" t="s">
        <v>187</v>
      </c>
      <c r="D90" s="17" t="s">
        <v>697</v>
      </c>
      <c r="E90" s="17" t="s">
        <v>697</v>
      </c>
      <c r="F90" s="17" t="s">
        <v>187</v>
      </c>
      <c r="G90" s="17" t="s">
        <v>188</v>
      </c>
      <c r="H90" s="18">
        <f>ROUND(SUMPRODUCT(SUMIF(Final!$G$5:$G$331,CashReserveLevy!D90:F90,Final!$C$5:$C$331)),0)</f>
        <v>138393762</v>
      </c>
      <c r="I90" s="18">
        <f t="shared" si="6"/>
        <v>27678752</v>
      </c>
      <c r="J90" s="18">
        <f>ROUND(SUMPRODUCT(SUMIF(Final!$G$5:$G$331,CashReserveLevy!D90:F90,Final!$E$5:$E$331)),0)</f>
        <v>23065023</v>
      </c>
      <c r="K90" s="18">
        <f t="shared" si="7"/>
        <v>4613729</v>
      </c>
      <c r="L90" s="18">
        <f>INDEX(ActualCRLevy_SAS!$A$2:$D$328,MATCH(CashReserveLevy!$C90,ActualCRLevy_SAS!$B$2:$B$328,0),4)</f>
        <v>4613729</v>
      </c>
      <c r="M90" s="19" t="str">
        <f t="shared" si="8"/>
        <v>Max</v>
      </c>
      <c r="N90" s="1" t="str">
        <f t="shared" si="9"/>
        <v/>
      </c>
      <c r="O90" s="1" t="str">
        <f t="shared" si="10"/>
        <v/>
      </c>
    </row>
    <row r="91" spans="1:15" x14ac:dyDescent="0.2">
      <c r="A91" s="17">
        <v>2023</v>
      </c>
      <c r="B91" s="17" t="s">
        <v>5</v>
      </c>
      <c r="C91" s="17" t="s">
        <v>189</v>
      </c>
      <c r="D91" s="17" t="s">
        <v>697</v>
      </c>
      <c r="E91" s="17" t="s">
        <v>697</v>
      </c>
      <c r="F91" s="17" t="s">
        <v>189</v>
      </c>
      <c r="G91" s="17" t="s">
        <v>190</v>
      </c>
      <c r="H91" s="18">
        <f>ROUND(SUMPRODUCT(SUMIF(Final!$G$5:$G$331,CashReserveLevy!D91:F91,Final!$C$5:$C$331)),0)</f>
        <v>5296838</v>
      </c>
      <c r="I91" s="18">
        <f t="shared" si="6"/>
        <v>1059368</v>
      </c>
      <c r="J91" s="18">
        <f>ROUND(SUMPRODUCT(SUMIF(Final!$G$5:$G$331,CashReserveLevy!D91:F91,Final!$E$5:$E$331)),0)</f>
        <v>1210461</v>
      </c>
      <c r="K91" s="18">
        <f t="shared" si="7"/>
        <v>0</v>
      </c>
      <c r="L91" s="18">
        <f>INDEX(ActualCRLevy_SAS!$A$2:$D$328,MATCH(CashReserveLevy!$C91,ActualCRLevy_SAS!$B$2:$B$328,0),4)</f>
        <v>0</v>
      </c>
      <c r="M91" s="19" t="str">
        <f t="shared" si="8"/>
        <v/>
      </c>
      <c r="N91" s="1" t="str">
        <f t="shared" si="9"/>
        <v/>
      </c>
      <c r="O91" s="1" t="str">
        <f t="shared" si="10"/>
        <v/>
      </c>
    </row>
    <row r="92" spans="1:15" x14ac:dyDescent="0.2">
      <c r="A92" s="17">
        <v>2023</v>
      </c>
      <c r="B92" s="17" t="s">
        <v>37</v>
      </c>
      <c r="C92" s="17" t="s">
        <v>191</v>
      </c>
      <c r="D92" s="17" t="s">
        <v>697</v>
      </c>
      <c r="E92" s="17" t="s">
        <v>697</v>
      </c>
      <c r="F92" s="17" t="s">
        <v>191</v>
      </c>
      <c r="G92" s="17" t="s">
        <v>192</v>
      </c>
      <c r="H92" s="18">
        <f>ROUND(SUMPRODUCT(SUMIF(Final!$G$5:$G$331,CashReserveLevy!D92:F92,Final!$C$5:$C$331)),0)</f>
        <v>7831768</v>
      </c>
      <c r="I92" s="18">
        <f t="shared" si="6"/>
        <v>1566354</v>
      </c>
      <c r="J92" s="18">
        <f>ROUND(SUMPRODUCT(SUMIF(Final!$G$5:$G$331,CashReserveLevy!D92:F92,Final!$E$5:$E$331)),0)</f>
        <v>1679724</v>
      </c>
      <c r="K92" s="18">
        <f t="shared" si="7"/>
        <v>0</v>
      </c>
      <c r="L92" s="18">
        <f>INDEX(ActualCRLevy_SAS!$A$2:$D$328,MATCH(CashReserveLevy!$C92,ActualCRLevy_SAS!$B$2:$B$328,0),4)</f>
        <v>0</v>
      </c>
      <c r="M92" s="19" t="str">
        <f t="shared" si="8"/>
        <v/>
      </c>
      <c r="N92" s="1" t="str">
        <f t="shared" si="9"/>
        <v/>
      </c>
      <c r="O92" s="1" t="str">
        <f t="shared" si="10"/>
        <v/>
      </c>
    </row>
    <row r="93" spans="1:15" x14ac:dyDescent="0.2">
      <c r="A93" s="17">
        <v>2023</v>
      </c>
      <c r="B93" s="17" t="s">
        <v>14</v>
      </c>
      <c r="C93" s="17" t="s">
        <v>193</v>
      </c>
      <c r="D93" s="17" t="s">
        <v>697</v>
      </c>
      <c r="E93" s="17" t="s">
        <v>697</v>
      </c>
      <c r="F93" s="17" t="s">
        <v>193</v>
      </c>
      <c r="G93" s="17" t="s">
        <v>194</v>
      </c>
      <c r="H93" s="18">
        <f>ROUND(SUMPRODUCT(SUMIF(Final!$G$5:$G$331,CashReserveLevy!D93:F93,Final!$C$5:$C$331)),0)</f>
        <v>12005667</v>
      </c>
      <c r="I93" s="18">
        <f t="shared" si="6"/>
        <v>2401133</v>
      </c>
      <c r="J93" s="18">
        <f>ROUND(SUMPRODUCT(SUMIF(Final!$G$5:$G$331,CashReserveLevy!D93:F93,Final!$E$5:$E$331)),0)</f>
        <v>3658777</v>
      </c>
      <c r="K93" s="18">
        <f t="shared" si="7"/>
        <v>0</v>
      </c>
      <c r="L93" s="18">
        <f>INDEX(ActualCRLevy_SAS!$A$2:$D$328,MATCH(CashReserveLevy!$C93,ActualCRLevy_SAS!$B$2:$B$328,0),4)</f>
        <v>0</v>
      </c>
      <c r="M93" s="19" t="str">
        <f t="shared" si="8"/>
        <v/>
      </c>
      <c r="N93" s="1" t="str">
        <f t="shared" si="9"/>
        <v/>
      </c>
      <c r="O93" s="1" t="str">
        <f t="shared" si="10"/>
        <v/>
      </c>
    </row>
    <row r="94" spans="1:15" x14ac:dyDescent="0.2">
      <c r="A94" s="17">
        <v>2023</v>
      </c>
      <c r="B94" s="17" t="s">
        <v>0</v>
      </c>
      <c r="C94" s="17" t="s">
        <v>195</v>
      </c>
      <c r="D94" s="17" t="s">
        <v>697</v>
      </c>
      <c r="E94" s="17" t="s">
        <v>697</v>
      </c>
      <c r="F94" s="17" t="s">
        <v>195</v>
      </c>
      <c r="G94" s="17" t="s">
        <v>196</v>
      </c>
      <c r="H94" s="18">
        <f>ROUND(SUMPRODUCT(SUMIF(Final!$G$5:$G$331,CashReserveLevy!D94:F94,Final!$C$5:$C$331)),0)</f>
        <v>7208275</v>
      </c>
      <c r="I94" s="18">
        <f t="shared" si="6"/>
        <v>1441655</v>
      </c>
      <c r="J94" s="18">
        <f>ROUND(SUMPRODUCT(SUMIF(Final!$G$5:$G$331,CashReserveLevy!D94:F94,Final!$E$5:$E$331)),0)</f>
        <v>1936682</v>
      </c>
      <c r="K94" s="18">
        <f t="shared" si="7"/>
        <v>0</v>
      </c>
      <c r="L94" s="18">
        <f>INDEX(ActualCRLevy_SAS!$A$2:$D$328,MATCH(CashReserveLevy!$C94,ActualCRLevy_SAS!$B$2:$B$328,0),4)</f>
        <v>0</v>
      </c>
      <c r="M94" s="19" t="str">
        <f t="shared" si="8"/>
        <v/>
      </c>
      <c r="N94" s="1" t="str">
        <f t="shared" si="9"/>
        <v/>
      </c>
      <c r="O94" s="1" t="str">
        <f t="shared" si="10"/>
        <v/>
      </c>
    </row>
    <row r="95" spans="1:15" x14ac:dyDescent="0.2">
      <c r="A95" s="17">
        <v>2023</v>
      </c>
      <c r="B95" s="17" t="s">
        <v>5</v>
      </c>
      <c r="C95" s="17" t="s">
        <v>197</v>
      </c>
      <c r="D95" s="17" t="s">
        <v>697</v>
      </c>
      <c r="E95" s="17" t="s">
        <v>697</v>
      </c>
      <c r="F95" s="17" t="s">
        <v>197</v>
      </c>
      <c r="G95" s="17" t="s">
        <v>198</v>
      </c>
      <c r="H95" s="18">
        <f>ROUND(SUMPRODUCT(SUMIF(Final!$G$5:$G$331,CashReserveLevy!D95:F95,Final!$C$5:$C$331)),0)</f>
        <v>7380821</v>
      </c>
      <c r="I95" s="18">
        <f t="shared" si="6"/>
        <v>1476164</v>
      </c>
      <c r="J95" s="18">
        <f>ROUND(SUMPRODUCT(SUMIF(Final!$G$5:$G$331,CashReserveLevy!D95:F95,Final!$E$5:$E$331)),0)</f>
        <v>1819759</v>
      </c>
      <c r="K95" s="18">
        <f t="shared" si="7"/>
        <v>0</v>
      </c>
      <c r="L95" s="18">
        <f>INDEX(ActualCRLevy_SAS!$A$2:$D$328,MATCH(CashReserveLevy!$C95,ActualCRLevy_SAS!$B$2:$B$328,0),4)</f>
        <v>0</v>
      </c>
      <c r="M95" s="19" t="str">
        <f t="shared" si="8"/>
        <v/>
      </c>
      <c r="N95" s="1" t="str">
        <f t="shared" si="9"/>
        <v/>
      </c>
      <c r="O95" s="1" t="str">
        <f t="shared" si="10"/>
        <v/>
      </c>
    </row>
    <row r="96" spans="1:15" x14ac:dyDescent="0.2">
      <c r="A96" s="17">
        <v>2023</v>
      </c>
      <c r="B96" s="17" t="s">
        <v>5</v>
      </c>
      <c r="C96" s="17" t="s">
        <v>199</v>
      </c>
      <c r="D96" s="17" t="s">
        <v>697</v>
      </c>
      <c r="E96" s="17" t="s">
        <v>697</v>
      </c>
      <c r="F96" s="17" t="s">
        <v>200</v>
      </c>
      <c r="G96" s="17" t="s">
        <v>201</v>
      </c>
      <c r="H96" s="18">
        <f>ROUND(SUMPRODUCT(SUMIF(Final!$G$5:$G$331,CashReserveLevy!D96:F96,Final!$C$5:$C$331)),0)</f>
        <v>8532946</v>
      </c>
      <c r="I96" s="18">
        <f t="shared" si="6"/>
        <v>1706589</v>
      </c>
      <c r="J96" s="18">
        <f>ROUND(SUMPRODUCT(SUMIF(Final!$G$5:$G$331,CashReserveLevy!D96:F96,Final!$E$5:$E$331)),0)</f>
        <v>3007585</v>
      </c>
      <c r="K96" s="18">
        <f t="shared" si="7"/>
        <v>0</v>
      </c>
      <c r="L96" s="18">
        <f>INDEX(ActualCRLevy_SAS!$A$2:$D$328,MATCH(CashReserveLevy!$C96,ActualCRLevy_SAS!$B$2:$B$328,0),4)</f>
        <v>0</v>
      </c>
      <c r="M96" s="19" t="str">
        <f t="shared" si="8"/>
        <v/>
      </c>
      <c r="N96" s="1" t="str">
        <f t="shared" si="9"/>
        <v/>
      </c>
      <c r="O96" s="1" t="str">
        <f t="shared" si="10"/>
        <v/>
      </c>
    </row>
    <row r="97" spans="1:15" x14ac:dyDescent="0.2">
      <c r="A97" s="17">
        <v>2023</v>
      </c>
      <c r="B97" s="17" t="s">
        <v>8</v>
      </c>
      <c r="C97" s="17" t="s">
        <v>202</v>
      </c>
      <c r="D97" s="17" t="s">
        <v>697</v>
      </c>
      <c r="E97" s="17" t="s">
        <v>697</v>
      </c>
      <c r="F97" s="17" t="s">
        <v>202</v>
      </c>
      <c r="G97" s="17" t="s">
        <v>203</v>
      </c>
      <c r="H97" s="18">
        <f>ROUND(SUMPRODUCT(SUMIF(Final!$G$5:$G$331,CashReserveLevy!D97:F97,Final!$C$5:$C$331)),0)</f>
        <v>7186337</v>
      </c>
      <c r="I97" s="18">
        <f t="shared" si="6"/>
        <v>1437267</v>
      </c>
      <c r="J97" s="18">
        <f>ROUND(SUMPRODUCT(SUMIF(Final!$G$5:$G$331,CashReserveLevy!D97:F97,Final!$E$5:$E$331)),0)</f>
        <v>4063657</v>
      </c>
      <c r="K97" s="18">
        <f t="shared" si="7"/>
        <v>0</v>
      </c>
      <c r="L97" s="18">
        <f>INDEX(ActualCRLevy_SAS!$A$2:$D$328,MATCH(CashReserveLevy!$C97,ActualCRLevy_SAS!$B$2:$B$328,0),4)</f>
        <v>0</v>
      </c>
      <c r="M97" s="19" t="str">
        <f t="shared" si="8"/>
        <v/>
      </c>
      <c r="N97" s="1" t="str">
        <f t="shared" si="9"/>
        <v/>
      </c>
      <c r="O97" s="1" t="str">
        <f t="shared" si="10"/>
        <v/>
      </c>
    </row>
    <row r="98" spans="1:15" x14ac:dyDescent="0.2">
      <c r="A98" s="17">
        <v>2023</v>
      </c>
      <c r="B98" s="17" t="s">
        <v>14</v>
      </c>
      <c r="C98" s="17" t="s">
        <v>204</v>
      </c>
      <c r="D98" s="17" t="s">
        <v>697</v>
      </c>
      <c r="E98" s="17" t="s">
        <v>697</v>
      </c>
      <c r="F98" s="17" t="s">
        <v>204</v>
      </c>
      <c r="G98" s="17" t="s">
        <v>205</v>
      </c>
      <c r="H98" s="18">
        <f>ROUND(SUMPRODUCT(SUMIF(Final!$G$5:$G$331,CashReserveLevy!D98:F98,Final!$C$5:$C$331)),0)</f>
        <v>10250918</v>
      </c>
      <c r="I98" s="18">
        <f t="shared" si="6"/>
        <v>2050184</v>
      </c>
      <c r="J98" s="18">
        <f>ROUND(SUMPRODUCT(SUMIF(Final!$G$5:$G$331,CashReserveLevy!D98:F98,Final!$E$5:$E$331)),0)</f>
        <v>1215913</v>
      </c>
      <c r="K98" s="18">
        <f t="shared" si="7"/>
        <v>834271</v>
      </c>
      <c r="L98" s="18">
        <f>INDEX(ActualCRLevy_SAS!$A$2:$D$328,MATCH(CashReserveLevy!$C98,ActualCRLevy_SAS!$B$2:$B$328,0),4)</f>
        <v>165642</v>
      </c>
      <c r="M98" s="19" t="str">
        <f t="shared" si="8"/>
        <v/>
      </c>
      <c r="N98" s="1" t="str">
        <f t="shared" si="9"/>
        <v/>
      </c>
      <c r="O98" s="1" t="str">
        <f t="shared" si="10"/>
        <v/>
      </c>
    </row>
    <row r="99" spans="1:15" x14ac:dyDescent="0.2">
      <c r="A99" s="17">
        <v>2023</v>
      </c>
      <c r="B99" s="17" t="s">
        <v>8</v>
      </c>
      <c r="C99" s="17" t="s">
        <v>206</v>
      </c>
      <c r="D99" s="17" t="s">
        <v>697</v>
      </c>
      <c r="E99" s="17" t="s">
        <v>697</v>
      </c>
      <c r="F99" s="17" t="s">
        <v>206</v>
      </c>
      <c r="G99" s="17" t="s">
        <v>207</v>
      </c>
      <c r="H99" s="18">
        <f>ROUND(SUMPRODUCT(SUMIF(Final!$G$5:$G$331,CashReserveLevy!D99:F99,Final!$C$5:$C$331)),0)</f>
        <v>7212335</v>
      </c>
      <c r="I99" s="18">
        <f t="shared" si="6"/>
        <v>1442467</v>
      </c>
      <c r="J99" s="18">
        <f>ROUND(SUMPRODUCT(SUMIF(Final!$G$5:$G$331,CashReserveLevy!D99:F99,Final!$E$5:$E$331)),0)</f>
        <v>1663643</v>
      </c>
      <c r="K99" s="18">
        <f t="shared" si="7"/>
        <v>0</v>
      </c>
      <c r="L99" s="18">
        <f>INDEX(ActualCRLevy_SAS!$A$2:$D$328,MATCH(CashReserveLevy!$C99,ActualCRLevy_SAS!$B$2:$B$328,0),4)</f>
        <v>0</v>
      </c>
      <c r="M99" s="19" t="str">
        <f t="shared" si="8"/>
        <v/>
      </c>
      <c r="N99" s="1" t="str">
        <f t="shared" si="9"/>
        <v/>
      </c>
      <c r="O99" s="1" t="str">
        <f t="shared" si="10"/>
        <v/>
      </c>
    </row>
    <row r="100" spans="1:15" x14ac:dyDescent="0.2">
      <c r="A100" s="17">
        <v>2023</v>
      </c>
      <c r="B100" s="17" t="s">
        <v>28</v>
      </c>
      <c r="C100" s="17" t="s">
        <v>208</v>
      </c>
      <c r="D100" s="17" t="s">
        <v>697</v>
      </c>
      <c r="E100" s="17" t="s">
        <v>697</v>
      </c>
      <c r="F100" s="17" t="s">
        <v>208</v>
      </c>
      <c r="G100" s="17" t="s">
        <v>209</v>
      </c>
      <c r="H100" s="18">
        <f>ROUND(SUMPRODUCT(SUMIF(Final!$G$5:$G$331,CashReserveLevy!D100:F100,Final!$C$5:$C$331)),0)</f>
        <v>4317383</v>
      </c>
      <c r="I100" s="18">
        <f t="shared" si="6"/>
        <v>863477</v>
      </c>
      <c r="J100" s="18">
        <f>ROUND(SUMPRODUCT(SUMIF(Final!$G$5:$G$331,CashReserveLevy!D100:F100,Final!$E$5:$E$331)),0)</f>
        <v>770080</v>
      </c>
      <c r="K100" s="18">
        <f t="shared" si="7"/>
        <v>93397</v>
      </c>
      <c r="L100" s="18">
        <f>INDEX(ActualCRLevy_SAS!$A$2:$D$328,MATCH(CashReserveLevy!$C100,ActualCRLevy_SAS!$B$2:$B$328,0),4)</f>
        <v>80000</v>
      </c>
      <c r="M100" s="19" t="str">
        <f t="shared" si="8"/>
        <v/>
      </c>
      <c r="N100" s="1" t="str">
        <f t="shared" si="9"/>
        <v/>
      </c>
      <c r="O100" s="1" t="str">
        <f t="shared" si="10"/>
        <v/>
      </c>
    </row>
    <row r="101" spans="1:15" x14ac:dyDescent="0.2">
      <c r="A101" s="17">
        <v>2023</v>
      </c>
      <c r="B101" s="17" t="s">
        <v>37</v>
      </c>
      <c r="C101" s="17" t="s">
        <v>210</v>
      </c>
      <c r="D101" s="17" t="s">
        <v>697</v>
      </c>
      <c r="E101" s="17" t="s">
        <v>697</v>
      </c>
      <c r="F101" s="17" t="s">
        <v>210</v>
      </c>
      <c r="G101" s="17" t="s">
        <v>211</v>
      </c>
      <c r="H101" s="18">
        <f>ROUND(SUMPRODUCT(SUMIF(Final!$G$5:$G$331,CashReserveLevy!D101:F101,Final!$C$5:$C$331)),0)</f>
        <v>7618599</v>
      </c>
      <c r="I101" s="18">
        <f t="shared" si="6"/>
        <v>1523720</v>
      </c>
      <c r="J101" s="18">
        <f>ROUND(SUMPRODUCT(SUMIF(Final!$G$5:$G$331,CashReserveLevy!D101:F101,Final!$E$5:$E$331)),0)</f>
        <v>1456034</v>
      </c>
      <c r="K101" s="18">
        <f t="shared" si="7"/>
        <v>67686</v>
      </c>
      <c r="L101" s="18">
        <f>INDEX(ActualCRLevy_SAS!$A$2:$D$328,MATCH(CashReserveLevy!$C101,ActualCRLevy_SAS!$B$2:$B$328,0),4)</f>
        <v>67686</v>
      </c>
      <c r="M101" s="19" t="str">
        <f t="shared" si="8"/>
        <v>Max</v>
      </c>
      <c r="N101" s="1" t="str">
        <f t="shared" si="9"/>
        <v/>
      </c>
      <c r="O101" s="1" t="str">
        <f t="shared" si="10"/>
        <v/>
      </c>
    </row>
    <row r="102" spans="1:15" x14ac:dyDescent="0.2">
      <c r="A102" s="17">
        <v>2023</v>
      </c>
      <c r="B102" s="17" t="s">
        <v>17</v>
      </c>
      <c r="C102" s="17" t="s">
        <v>212</v>
      </c>
      <c r="D102" s="17" t="s">
        <v>697</v>
      </c>
      <c r="E102" s="17" t="s">
        <v>697</v>
      </c>
      <c r="F102" s="17" t="s">
        <v>212</v>
      </c>
      <c r="G102" s="17" t="s">
        <v>213</v>
      </c>
      <c r="H102" s="18">
        <f>ROUND(SUMPRODUCT(SUMIF(Final!$G$5:$G$331,CashReserveLevy!D102:F102,Final!$C$5:$C$331)),0)</f>
        <v>11735436</v>
      </c>
      <c r="I102" s="18">
        <f t="shared" si="6"/>
        <v>2347087</v>
      </c>
      <c r="J102" s="18">
        <f>ROUND(SUMPRODUCT(SUMIF(Final!$G$5:$G$331,CashReserveLevy!D102:F102,Final!$E$5:$E$331)),0)</f>
        <v>4408386</v>
      </c>
      <c r="K102" s="18">
        <f t="shared" si="7"/>
        <v>0</v>
      </c>
      <c r="L102" s="18">
        <f>INDEX(ActualCRLevy_SAS!$A$2:$D$328,MATCH(CashReserveLevy!$C102,ActualCRLevy_SAS!$B$2:$B$328,0),4)</f>
        <v>0</v>
      </c>
      <c r="M102" s="19" t="str">
        <f t="shared" si="8"/>
        <v/>
      </c>
      <c r="N102" s="1" t="str">
        <f t="shared" si="9"/>
        <v/>
      </c>
      <c r="O102" s="1" t="str">
        <f t="shared" si="10"/>
        <v/>
      </c>
    </row>
    <row r="103" spans="1:15" x14ac:dyDescent="0.2">
      <c r="A103" s="17">
        <v>2023</v>
      </c>
      <c r="B103" s="17" t="s">
        <v>28</v>
      </c>
      <c r="C103" s="17" t="s">
        <v>214</v>
      </c>
      <c r="D103" s="17" t="s">
        <v>697</v>
      </c>
      <c r="E103" s="17" t="s">
        <v>697</v>
      </c>
      <c r="F103" s="17" t="s">
        <v>214</v>
      </c>
      <c r="G103" s="17" t="s">
        <v>215</v>
      </c>
      <c r="H103" s="18">
        <f>ROUND(SUMPRODUCT(SUMIF(Final!$G$5:$G$331,CashReserveLevy!D103:F103,Final!$C$5:$C$331)),0)</f>
        <v>6232636</v>
      </c>
      <c r="I103" s="18">
        <f t="shared" si="6"/>
        <v>1246527</v>
      </c>
      <c r="J103" s="18">
        <f>ROUND(SUMPRODUCT(SUMIF(Final!$G$5:$G$331,CashReserveLevy!D103:F103,Final!$E$5:$E$331)),0)</f>
        <v>2264294</v>
      </c>
      <c r="K103" s="18">
        <f t="shared" si="7"/>
        <v>0</v>
      </c>
      <c r="L103" s="18">
        <f>INDEX(ActualCRLevy_SAS!$A$2:$D$328,MATCH(CashReserveLevy!$C103,ActualCRLevy_SAS!$B$2:$B$328,0),4)</f>
        <v>0</v>
      </c>
      <c r="M103" s="19" t="str">
        <f t="shared" si="8"/>
        <v/>
      </c>
      <c r="N103" s="1" t="str">
        <f t="shared" si="9"/>
        <v/>
      </c>
      <c r="O103" s="1" t="str">
        <f t="shared" si="10"/>
        <v/>
      </c>
    </row>
    <row r="104" spans="1:15" x14ac:dyDescent="0.2">
      <c r="A104" s="17">
        <v>2023</v>
      </c>
      <c r="B104" s="17" t="s">
        <v>5</v>
      </c>
      <c r="C104" s="17" t="s">
        <v>216</v>
      </c>
      <c r="D104" s="17" t="s">
        <v>697</v>
      </c>
      <c r="E104" s="17" t="s">
        <v>697</v>
      </c>
      <c r="F104" s="17" t="s">
        <v>216</v>
      </c>
      <c r="G104" s="17" t="s">
        <v>217</v>
      </c>
      <c r="H104" s="18">
        <f>ROUND(SUMPRODUCT(SUMIF(Final!$G$5:$G$331,CashReserveLevy!D104:F104,Final!$C$5:$C$331)),0)</f>
        <v>8832682</v>
      </c>
      <c r="I104" s="18">
        <f t="shared" si="6"/>
        <v>1766536</v>
      </c>
      <c r="J104" s="18">
        <f>ROUND(SUMPRODUCT(SUMIF(Final!$G$5:$G$331,CashReserveLevy!D104:F104,Final!$E$5:$E$331)),0)</f>
        <v>2553726</v>
      </c>
      <c r="K104" s="18">
        <f t="shared" si="7"/>
        <v>0</v>
      </c>
      <c r="L104" s="18">
        <f>INDEX(ActualCRLevy_SAS!$A$2:$D$328,MATCH(CashReserveLevy!$C104,ActualCRLevy_SAS!$B$2:$B$328,0),4)</f>
        <v>0</v>
      </c>
      <c r="M104" s="19" t="str">
        <f t="shared" si="8"/>
        <v/>
      </c>
      <c r="N104" s="1" t="str">
        <f t="shared" si="9"/>
        <v/>
      </c>
      <c r="O104" s="1" t="str">
        <f t="shared" si="10"/>
        <v/>
      </c>
    </row>
    <row r="105" spans="1:15" x14ac:dyDescent="0.2">
      <c r="A105" s="17">
        <v>2023</v>
      </c>
      <c r="B105" s="17" t="s">
        <v>14</v>
      </c>
      <c r="C105" s="17" t="s">
        <v>218</v>
      </c>
      <c r="D105" s="17" t="s">
        <v>697</v>
      </c>
      <c r="E105" s="17" t="s">
        <v>697</v>
      </c>
      <c r="F105" s="17" t="s">
        <v>218</v>
      </c>
      <c r="G105" s="17" t="s">
        <v>219</v>
      </c>
      <c r="H105" s="18">
        <f>ROUND(SUMPRODUCT(SUMIF(Final!$G$5:$G$331,CashReserveLevy!D105:F105,Final!$C$5:$C$331)),0)</f>
        <v>9039300</v>
      </c>
      <c r="I105" s="18">
        <f t="shared" si="6"/>
        <v>1807860</v>
      </c>
      <c r="J105" s="18">
        <f>ROUND(SUMPRODUCT(SUMIF(Final!$G$5:$G$331,CashReserveLevy!D105:F105,Final!$E$5:$E$331)),0)</f>
        <v>2247452</v>
      </c>
      <c r="K105" s="18">
        <f t="shared" si="7"/>
        <v>0</v>
      </c>
      <c r="L105" s="18">
        <f>INDEX(ActualCRLevy_SAS!$A$2:$D$328,MATCH(CashReserveLevy!$C105,ActualCRLevy_SAS!$B$2:$B$328,0),4)</f>
        <v>0</v>
      </c>
      <c r="M105" s="19" t="str">
        <f t="shared" si="8"/>
        <v/>
      </c>
      <c r="N105" s="1" t="str">
        <f t="shared" si="9"/>
        <v/>
      </c>
      <c r="O105" s="1" t="str">
        <f t="shared" si="10"/>
        <v/>
      </c>
    </row>
    <row r="106" spans="1:15" x14ac:dyDescent="0.2">
      <c r="A106" s="17">
        <v>2023</v>
      </c>
      <c r="B106" s="17" t="s">
        <v>20</v>
      </c>
      <c r="C106" s="17" t="s">
        <v>220</v>
      </c>
      <c r="D106" s="17" t="s">
        <v>697</v>
      </c>
      <c r="E106" s="17" t="s">
        <v>697</v>
      </c>
      <c r="F106" s="17" t="s">
        <v>220</v>
      </c>
      <c r="G106" s="17" t="s">
        <v>221</v>
      </c>
      <c r="H106" s="18">
        <f>ROUND(SUMPRODUCT(SUMIF(Final!$G$5:$G$331,CashReserveLevy!D106:F106,Final!$C$5:$C$331)),0)</f>
        <v>6562383</v>
      </c>
      <c r="I106" s="18">
        <f t="shared" si="6"/>
        <v>1312477</v>
      </c>
      <c r="J106" s="18">
        <f>ROUND(SUMPRODUCT(SUMIF(Final!$G$5:$G$331,CashReserveLevy!D106:F106,Final!$E$5:$E$331)),0)</f>
        <v>1853990</v>
      </c>
      <c r="K106" s="18">
        <f t="shared" si="7"/>
        <v>0</v>
      </c>
      <c r="L106" s="18">
        <f>INDEX(ActualCRLevy_SAS!$A$2:$D$328,MATCH(CashReserveLevy!$C106,ActualCRLevy_SAS!$B$2:$B$328,0),4)</f>
        <v>0</v>
      </c>
      <c r="M106" s="19" t="str">
        <f t="shared" si="8"/>
        <v/>
      </c>
      <c r="N106" s="1" t="str">
        <f t="shared" si="9"/>
        <v/>
      </c>
      <c r="O106" s="1" t="str">
        <f t="shared" si="10"/>
        <v/>
      </c>
    </row>
    <row r="107" spans="1:15" x14ac:dyDescent="0.2">
      <c r="A107" s="17">
        <v>2023</v>
      </c>
      <c r="B107" s="17" t="s">
        <v>8</v>
      </c>
      <c r="C107" s="17" t="s">
        <v>222</v>
      </c>
      <c r="D107" s="17" t="s">
        <v>697</v>
      </c>
      <c r="E107" s="17" t="s">
        <v>697</v>
      </c>
      <c r="F107" s="17" t="s">
        <v>222</v>
      </c>
      <c r="G107" s="17" t="s">
        <v>223</v>
      </c>
      <c r="H107" s="18">
        <f>ROUND(SUMPRODUCT(SUMIF(Final!$G$5:$G$331,CashReserveLevy!D107:F107,Final!$C$5:$C$331)),0)</f>
        <v>3289378</v>
      </c>
      <c r="I107" s="18">
        <f t="shared" si="6"/>
        <v>657876</v>
      </c>
      <c r="J107" s="18">
        <f>ROUND(SUMPRODUCT(SUMIF(Final!$G$5:$G$331,CashReserveLevy!D107:F107,Final!$E$5:$E$331)),0)</f>
        <v>143900</v>
      </c>
      <c r="K107" s="18">
        <f t="shared" si="7"/>
        <v>513976</v>
      </c>
      <c r="L107" s="18">
        <f>INDEX(ActualCRLevy_SAS!$A$2:$D$328,MATCH(CashReserveLevy!$C107,ActualCRLevy_SAS!$B$2:$B$328,0),4)</f>
        <v>350000</v>
      </c>
      <c r="M107" s="19" t="str">
        <f t="shared" si="8"/>
        <v/>
      </c>
      <c r="N107" s="1" t="str">
        <f t="shared" si="9"/>
        <v/>
      </c>
      <c r="O107" s="1" t="str">
        <f t="shared" si="10"/>
        <v/>
      </c>
    </row>
    <row r="108" spans="1:15" x14ac:dyDescent="0.2">
      <c r="A108" s="17">
        <v>2023</v>
      </c>
      <c r="B108" s="17" t="s">
        <v>14</v>
      </c>
      <c r="C108" s="17" t="s">
        <v>224</v>
      </c>
      <c r="D108" s="17" t="s">
        <v>697</v>
      </c>
      <c r="E108" s="17" t="s">
        <v>697</v>
      </c>
      <c r="F108" s="17" t="s">
        <v>224</v>
      </c>
      <c r="G108" s="17" t="s">
        <v>225</v>
      </c>
      <c r="H108" s="18">
        <f>ROUND(SUMPRODUCT(SUMIF(Final!$G$5:$G$331,CashReserveLevy!D108:F108,Final!$C$5:$C$331)),0)</f>
        <v>16114339</v>
      </c>
      <c r="I108" s="18">
        <f t="shared" si="6"/>
        <v>3222868</v>
      </c>
      <c r="J108" s="18">
        <f>ROUND(SUMPRODUCT(SUMIF(Final!$G$5:$G$331,CashReserveLevy!D108:F108,Final!$E$5:$E$331)),0)</f>
        <v>2070263</v>
      </c>
      <c r="K108" s="18">
        <f t="shared" si="7"/>
        <v>1152605</v>
      </c>
      <c r="L108" s="18">
        <f>INDEX(ActualCRLevy_SAS!$A$2:$D$328,MATCH(CashReserveLevy!$C108,ActualCRLevy_SAS!$B$2:$B$328,0),4)</f>
        <v>1073351</v>
      </c>
      <c r="M108" s="19" t="str">
        <f t="shared" si="8"/>
        <v/>
      </c>
      <c r="N108" s="1" t="str">
        <f t="shared" si="9"/>
        <v/>
      </c>
      <c r="O108" s="1" t="str">
        <f t="shared" si="10"/>
        <v/>
      </c>
    </row>
    <row r="109" spans="1:15" x14ac:dyDescent="0.2">
      <c r="A109" s="17">
        <v>2023</v>
      </c>
      <c r="B109" s="17" t="s">
        <v>0</v>
      </c>
      <c r="C109" s="17" t="s">
        <v>226</v>
      </c>
      <c r="D109" s="17" t="s">
        <v>697</v>
      </c>
      <c r="E109" s="17" t="s">
        <v>697</v>
      </c>
      <c r="F109" s="17" t="s">
        <v>226</v>
      </c>
      <c r="G109" s="17" t="s">
        <v>227</v>
      </c>
      <c r="H109" s="18">
        <f>ROUND(SUMPRODUCT(SUMIF(Final!$G$5:$G$331,CashReserveLevy!D109:F109,Final!$C$5:$C$331)),0)</f>
        <v>5384472</v>
      </c>
      <c r="I109" s="18">
        <f t="shared" si="6"/>
        <v>1076894</v>
      </c>
      <c r="J109" s="18">
        <f>ROUND(SUMPRODUCT(SUMIF(Final!$G$5:$G$331,CashReserveLevy!D109:F109,Final!$E$5:$E$331)),0)</f>
        <v>2212299</v>
      </c>
      <c r="K109" s="18">
        <f t="shared" si="7"/>
        <v>0</v>
      </c>
      <c r="L109" s="18">
        <f>INDEX(ActualCRLevy_SAS!$A$2:$D$328,MATCH(CashReserveLevy!$C109,ActualCRLevy_SAS!$B$2:$B$328,0),4)</f>
        <v>0</v>
      </c>
      <c r="M109" s="19" t="str">
        <f t="shared" si="8"/>
        <v/>
      </c>
      <c r="N109" s="1" t="str">
        <f t="shared" si="9"/>
        <v/>
      </c>
      <c r="O109" s="1" t="str">
        <f t="shared" si="10"/>
        <v/>
      </c>
    </row>
    <row r="110" spans="1:15" x14ac:dyDescent="0.2">
      <c r="A110" s="17">
        <v>2023</v>
      </c>
      <c r="B110" s="17" t="s">
        <v>17</v>
      </c>
      <c r="C110" s="17" t="s">
        <v>228</v>
      </c>
      <c r="D110" s="17" t="s">
        <v>697</v>
      </c>
      <c r="E110" s="17" t="s">
        <v>697</v>
      </c>
      <c r="F110" s="17" t="s">
        <v>228</v>
      </c>
      <c r="G110" s="17" t="s">
        <v>229</v>
      </c>
      <c r="H110" s="18">
        <f>ROUND(SUMPRODUCT(SUMIF(Final!$G$5:$G$331,CashReserveLevy!D110:F110,Final!$C$5:$C$331)),0)</f>
        <v>20910847</v>
      </c>
      <c r="I110" s="18">
        <f t="shared" si="6"/>
        <v>4182169</v>
      </c>
      <c r="J110" s="18">
        <f>ROUND(SUMPRODUCT(SUMIF(Final!$G$5:$G$331,CashReserveLevy!D110:F110,Final!$E$5:$E$331)),0)</f>
        <v>2793121</v>
      </c>
      <c r="K110" s="18">
        <f t="shared" si="7"/>
        <v>1389048</v>
      </c>
      <c r="L110" s="18">
        <f>INDEX(ActualCRLevy_SAS!$A$2:$D$328,MATCH(CashReserveLevy!$C110,ActualCRLevy_SAS!$B$2:$B$328,0),4)</f>
        <v>800000</v>
      </c>
      <c r="M110" s="19" t="str">
        <f t="shared" si="8"/>
        <v/>
      </c>
      <c r="N110" s="1" t="str">
        <f t="shared" si="9"/>
        <v/>
      </c>
      <c r="O110" s="1" t="str">
        <f t="shared" si="10"/>
        <v/>
      </c>
    </row>
    <row r="111" spans="1:15" x14ac:dyDescent="0.2">
      <c r="A111" s="17">
        <v>2023</v>
      </c>
      <c r="B111" s="17" t="s">
        <v>5</v>
      </c>
      <c r="C111" s="17" t="s">
        <v>230</v>
      </c>
      <c r="D111" s="17" t="s">
        <v>697</v>
      </c>
      <c r="E111" s="17" t="s">
        <v>697</v>
      </c>
      <c r="F111" s="17" t="s">
        <v>230</v>
      </c>
      <c r="G111" s="17" t="s">
        <v>231</v>
      </c>
      <c r="H111" s="18">
        <f>ROUND(SUMPRODUCT(SUMIF(Final!$G$5:$G$331,CashReserveLevy!D111:F111,Final!$C$5:$C$331)),0)</f>
        <v>13436346</v>
      </c>
      <c r="I111" s="18">
        <f t="shared" si="6"/>
        <v>2687269</v>
      </c>
      <c r="J111" s="18">
        <f>ROUND(SUMPRODUCT(SUMIF(Final!$G$5:$G$331,CashReserveLevy!D111:F111,Final!$E$5:$E$331)),0)</f>
        <v>3625859</v>
      </c>
      <c r="K111" s="18">
        <f t="shared" si="7"/>
        <v>0</v>
      </c>
      <c r="L111" s="18">
        <f>INDEX(ActualCRLevy_SAS!$A$2:$D$328,MATCH(CashReserveLevy!$C111,ActualCRLevy_SAS!$B$2:$B$328,0),4)</f>
        <v>0</v>
      </c>
      <c r="M111" s="19" t="str">
        <f t="shared" si="8"/>
        <v/>
      </c>
      <c r="N111" s="1" t="str">
        <f t="shared" si="9"/>
        <v/>
      </c>
      <c r="O111" s="1" t="str">
        <f t="shared" si="10"/>
        <v/>
      </c>
    </row>
    <row r="112" spans="1:15" x14ac:dyDescent="0.2">
      <c r="A112" s="17">
        <v>2023</v>
      </c>
      <c r="B112" s="17" t="s">
        <v>14</v>
      </c>
      <c r="C112" s="17" t="s">
        <v>232</v>
      </c>
      <c r="D112" s="17" t="s">
        <v>697</v>
      </c>
      <c r="E112" s="17" t="s">
        <v>697</v>
      </c>
      <c r="F112" s="17" t="s">
        <v>232</v>
      </c>
      <c r="G112" s="17" t="s">
        <v>233</v>
      </c>
      <c r="H112" s="18">
        <f>ROUND(SUMPRODUCT(SUMIF(Final!$G$5:$G$331,CashReserveLevy!D112:F112,Final!$C$5:$C$331)),0)</f>
        <v>48496346</v>
      </c>
      <c r="I112" s="18">
        <f t="shared" si="6"/>
        <v>9699269</v>
      </c>
      <c r="J112" s="18">
        <f>ROUND(SUMPRODUCT(SUMIF(Final!$G$5:$G$331,CashReserveLevy!D112:F112,Final!$E$5:$E$331)),0)</f>
        <v>8401562</v>
      </c>
      <c r="K112" s="18">
        <f t="shared" si="7"/>
        <v>1297707</v>
      </c>
      <c r="L112" s="18">
        <f>INDEX(ActualCRLevy_SAS!$A$2:$D$328,MATCH(CashReserveLevy!$C112,ActualCRLevy_SAS!$B$2:$B$328,0),4)</f>
        <v>500000</v>
      </c>
      <c r="M112" s="19" t="str">
        <f t="shared" si="8"/>
        <v/>
      </c>
      <c r="N112" s="1" t="str">
        <f t="shared" si="9"/>
        <v/>
      </c>
      <c r="O112" s="1" t="str">
        <f t="shared" si="10"/>
        <v/>
      </c>
    </row>
    <row r="113" spans="1:15" x14ac:dyDescent="0.2">
      <c r="A113" s="17">
        <v>2023</v>
      </c>
      <c r="B113" s="17" t="s">
        <v>17</v>
      </c>
      <c r="C113" s="17" t="s">
        <v>234</v>
      </c>
      <c r="D113" s="17" t="s">
        <v>697</v>
      </c>
      <c r="E113" s="17" t="s">
        <v>697</v>
      </c>
      <c r="F113" s="17" t="s">
        <v>234</v>
      </c>
      <c r="G113" s="17" t="s">
        <v>235</v>
      </c>
      <c r="H113" s="18">
        <f>ROUND(SUMPRODUCT(SUMIF(Final!$G$5:$G$331,CashReserveLevy!D113:F113,Final!$C$5:$C$331)),0)</f>
        <v>24401059</v>
      </c>
      <c r="I113" s="18">
        <f t="shared" si="6"/>
        <v>4880212</v>
      </c>
      <c r="J113" s="18">
        <f>ROUND(SUMPRODUCT(SUMIF(Final!$G$5:$G$331,CashReserveLevy!D113:F113,Final!$E$5:$E$331)),0)</f>
        <v>7868462</v>
      </c>
      <c r="K113" s="18">
        <f t="shared" si="7"/>
        <v>0</v>
      </c>
      <c r="L113" s="18">
        <f>INDEX(ActualCRLevy_SAS!$A$2:$D$328,MATCH(CashReserveLevy!$C113,ActualCRLevy_SAS!$B$2:$B$328,0),4)</f>
        <v>0</v>
      </c>
      <c r="M113" s="19" t="str">
        <f t="shared" si="8"/>
        <v/>
      </c>
      <c r="N113" s="1" t="str">
        <f t="shared" si="9"/>
        <v/>
      </c>
      <c r="O113" s="1" t="str">
        <f t="shared" si="10"/>
        <v/>
      </c>
    </row>
    <row r="114" spans="1:15" x14ac:dyDescent="0.2">
      <c r="A114" s="17">
        <v>2023</v>
      </c>
      <c r="B114" s="17" t="s">
        <v>8</v>
      </c>
      <c r="C114" s="17" t="s">
        <v>236</v>
      </c>
      <c r="D114" s="17" t="s">
        <v>697</v>
      </c>
      <c r="E114" s="17" t="s">
        <v>697</v>
      </c>
      <c r="F114" s="17" t="s">
        <v>236</v>
      </c>
      <c r="G114" s="17" t="s">
        <v>237</v>
      </c>
      <c r="H114" s="18">
        <f>ROUND(SUMPRODUCT(SUMIF(Final!$G$5:$G$331,CashReserveLevy!D114:F114,Final!$C$5:$C$331)),0)</f>
        <v>6182409</v>
      </c>
      <c r="I114" s="18">
        <f t="shared" si="6"/>
        <v>1236482</v>
      </c>
      <c r="J114" s="18">
        <f>ROUND(SUMPRODUCT(SUMIF(Final!$G$5:$G$331,CashReserveLevy!D114:F114,Final!$E$5:$E$331)),0)</f>
        <v>489308</v>
      </c>
      <c r="K114" s="18">
        <f t="shared" si="7"/>
        <v>747174</v>
      </c>
      <c r="L114" s="18">
        <f>INDEX(ActualCRLevy_SAS!$A$2:$D$328,MATCH(CashReserveLevy!$C114,ActualCRLevy_SAS!$B$2:$B$328,0),4)</f>
        <v>690000</v>
      </c>
      <c r="M114" s="19" t="str">
        <f t="shared" si="8"/>
        <v/>
      </c>
      <c r="N114" s="1" t="str">
        <f t="shared" si="9"/>
        <v/>
      </c>
      <c r="O114" s="1" t="str">
        <f t="shared" si="10"/>
        <v/>
      </c>
    </row>
    <row r="115" spans="1:15" x14ac:dyDescent="0.2">
      <c r="A115" s="17">
        <v>2023</v>
      </c>
      <c r="B115" s="17" t="s">
        <v>11</v>
      </c>
      <c r="C115" s="17" t="s">
        <v>238</v>
      </c>
      <c r="D115" s="17" t="s">
        <v>697</v>
      </c>
      <c r="E115" s="17" t="s">
        <v>697</v>
      </c>
      <c r="F115" s="17" t="s">
        <v>238</v>
      </c>
      <c r="G115" s="17" t="s">
        <v>239</v>
      </c>
      <c r="H115" s="18">
        <f>ROUND(SUMPRODUCT(SUMIF(Final!$G$5:$G$331,CashReserveLevy!D115:F115,Final!$C$5:$C$331)),0)</f>
        <v>6406676</v>
      </c>
      <c r="I115" s="18">
        <f t="shared" si="6"/>
        <v>1281335</v>
      </c>
      <c r="J115" s="18">
        <f>ROUND(SUMPRODUCT(SUMIF(Final!$G$5:$G$331,CashReserveLevy!D115:F115,Final!$E$5:$E$331)),0)</f>
        <v>3098394</v>
      </c>
      <c r="K115" s="18">
        <f t="shared" si="7"/>
        <v>0</v>
      </c>
      <c r="L115" s="18">
        <f>INDEX(ActualCRLevy_SAS!$A$2:$D$328,MATCH(CashReserveLevy!$C115,ActualCRLevy_SAS!$B$2:$B$328,0),4)</f>
        <v>0</v>
      </c>
      <c r="M115" s="19" t="str">
        <f t="shared" si="8"/>
        <v/>
      </c>
      <c r="N115" s="1" t="str">
        <f t="shared" si="9"/>
        <v/>
      </c>
      <c r="O115" s="1" t="str">
        <f t="shared" si="10"/>
        <v/>
      </c>
    </row>
    <row r="116" spans="1:15" x14ac:dyDescent="0.2">
      <c r="A116" s="17">
        <v>2023</v>
      </c>
      <c r="B116" s="17" t="s">
        <v>5</v>
      </c>
      <c r="C116" s="17" t="s">
        <v>240</v>
      </c>
      <c r="D116" s="17" t="s">
        <v>697</v>
      </c>
      <c r="E116" s="17" t="s">
        <v>697</v>
      </c>
      <c r="F116" s="17" t="s">
        <v>240</v>
      </c>
      <c r="G116" s="17" t="s">
        <v>241</v>
      </c>
      <c r="H116" s="18">
        <f>ROUND(SUMPRODUCT(SUMIF(Final!$G$5:$G$331,CashReserveLevy!D116:F116,Final!$C$5:$C$331)),0)</f>
        <v>11194920</v>
      </c>
      <c r="I116" s="18">
        <f t="shared" si="6"/>
        <v>2238984</v>
      </c>
      <c r="J116" s="18">
        <f>ROUND(SUMPRODUCT(SUMIF(Final!$G$5:$G$331,CashReserveLevy!D116:F116,Final!$E$5:$E$331)),0)</f>
        <v>1713180</v>
      </c>
      <c r="K116" s="18">
        <f t="shared" si="7"/>
        <v>525804</v>
      </c>
      <c r="L116" s="18">
        <f>INDEX(ActualCRLevy_SAS!$A$2:$D$328,MATCH(CashReserveLevy!$C116,ActualCRLevy_SAS!$B$2:$B$328,0),4)</f>
        <v>525804</v>
      </c>
      <c r="M116" s="19" t="str">
        <f t="shared" si="8"/>
        <v>Max</v>
      </c>
      <c r="N116" s="1" t="str">
        <f t="shared" si="9"/>
        <v/>
      </c>
      <c r="O116" s="1" t="str">
        <f t="shared" si="10"/>
        <v/>
      </c>
    </row>
    <row r="117" spans="1:15" x14ac:dyDescent="0.2">
      <c r="A117" s="17">
        <v>2023</v>
      </c>
      <c r="B117" s="17" t="s">
        <v>11</v>
      </c>
      <c r="C117" s="17" t="s">
        <v>242</v>
      </c>
      <c r="D117" s="17" t="s">
        <v>697</v>
      </c>
      <c r="E117" s="17" t="s">
        <v>697</v>
      </c>
      <c r="F117" s="17" t="s">
        <v>242</v>
      </c>
      <c r="G117" s="17" t="s">
        <v>243</v>
      </c>
      <c r="H117" s="18">
        <f>ROUND(SUMPRODUCT(SUMIF(Final!$G$5:$G$331,CashReserveLevy!D117:F117,Final!$C$5:$C$331)),0)</f>
        <v>5154554</v>
      </c>
      <c r="I117" s="18">
        <f t="shared" si="6"/>
        <v>1030911</v>
      </c>
      <c r="J117" s="18">
        <f>ROUND(SUMPRODUCT(SUMIF(Final!$G$5:$G$331,CashReserveLevy!D117:F117,Final!$E$5:$E$331)),0)</f>
        <v>1759010</v>
      </c>
      <c r="K117" s="18">
        <f t="shared" si="7"/>
        <v>0</v>
      </c>
      <c r="L117" s="18">
        <f>INDEX(ActualCRLevy_SAS!$A$2:$D$328,MATCH(CashReserveLevy!$C117,ActualCRLevy_SAS!$B$2:$B$328,0),4)</f>
        <v>0</v>
      </c>
      <c r="M117" s="19" t="str">
        <f t="shared" si="8"/>
        <v/>
      </c>
      <c r="N117" s="1" t="str">
        <f t="shared" si="9"/>
        <v/>
      </c>
      <c r="O117" s="1" t="str">
        <f t="shared" si="10"/>
        <v/>
      </c>
    </row>
    <row r="118" spans="1:15" x14ac:dyDescent="0.2">
      <c r="A118" s="17">
        <v>2023</v>
      </c>
      <c r="B118" s="17" t="s">
        <v>0</v>
      </c>
      <c r="C118" s="17" t="s">
        <v>244</v>
      </c>
      <c r="D118" s="17" t="s">
        <v>697</v>
      </c>
      <c r="E118" s="17" t="s">
        <v>697</v>
      </c>
      <c r="F118" s="17" t="s">
        <v>244</v>
      </c>
      <c r="G118" s="17" t="s">
        <v>245</v>
      </c>
      <c r="H118" s="18">
        <f>ROUND(SUMPRODUCT(SUMIF(Final!$G$5:$G$331,CashReserveLevy!D118:F118,Final!$C$5:$C$331)),0)</f>
        <v>18572882</v>
      </c>
      <c r="I118" s="18">
        <f t="shared" si="6"/>
        <v>3714576</v>
      </c>
      <c r="J118" s="18">
        <f>ROUND(SUMPRODUCT(SUMIF(Final!$G$5:$G$331,CashReserveLevy!D118:F118,Final!$E$5:$E$331)),0)</f>
        <v>3500625</v>
      </c>
      <c r="K118" s="18">
        <f t="shared" si="7"/>
        <v>213951</v>
      </c>
      <c r="L118" s="18">
        <f>INDEX(ActualCRLevy_SAS!$A$2:$D$328,MATCH(CashReserveLevy!$C118,ActualCRLevy_SAS!$B$2:$B$328,0),4)</f>
        <v>213951</v>
      </c>
      <c r="M118" s="19" t="str">
        <f t="shared" si="8"/>
        <v>Max</v>
      </c>
      <c r="N118" s="1" t="str">
        <f t="shared" si="9"/>
        <v/>
      </c>
      <c r="O118" s="1" t="str">
        <f t="shared" si="10"/>
        <v/>
      </c>
    </row>
    <row r="119" spans="1:15" x14ac:dyDescent="0.2">
      <c r="A119" s="17">
        <v>2023</v>
      </c>
      <c r="B119" s="17" t="s">
        <v>14</v>
      </c>
      <c r="C119" s="17" t="s">
        <v>246</v>
      </c>
      <c r="D119" s="17" t="s">
        <v>697</v>
      </c>
      <c r="E119" s="17" t="s">
        <v>697</v>
      </c>
      <c r="F119" s="17" t="s">
        <v>246</v>
      </c>
      <c r="G119" s="17" t="s">
        <v>247</v>
      </c>
      <c r="H119" s="18">
        <f>ROUND(SUMPRODUCT(SUMIF(Final!$G$5:$G$331,CashReserveLevy!D119:F119,Final!$C$5:$C$331)),0)</f>
        <v>2589389</v>
      </c>
      <c r="I119" s="18">
        <f t="shared" si="6"/>
        <v>517878</v>
      </c>
      <c r="J119" s="18">
        <f>ROUND(SUMPRODUCT(SUMIF(Final!$G$5:$G$331,CashReserveLevy!D119:F119,Final!$E$5:$E$331)),0)</f>
        <v>-450350</v>
      </c>
      <c r="K119" s="18">
        <f t="shared" si="7"/>
        <v>968228</v>
      </c>
      <c r="L119" s="18">
        <f>INDEX(ActualCRLevy_SAS!$A$2:$D$328,MATCH(CashReserveLevy!$C119,ActualCRLevy_SAS!$B$2:$B$328,0),4)</f>
        <v>400000</v>
      </c>
      <c r="M119" s="19" t="str">
        <f t="shared" si="8"/>
        <v/>
      </c>
      <c r="N119" s="1" t="str">
        <f t="shared" si="9"/>
        <v/>
      </c>
      <c r="O119" s="1" t="str">
        <f t="shared" si="10"/>
        <v/>
      </c>
    </row>
    <row r="120" spans="1:15" x14ac:dyDescent="0.2">
      <c r="A120" s="17">
        <v>2023</v>
      </c>
      <c r="B120" s="17" t="s">
        <v>5</v>
      </c>
      <c r="C120" s="17" t="s">
        <v>248</v>
      </c>
      <c r="D120" s="17" t="s">
        <v>697</v>
      </c>
      <c r="E120" s="17" t="s">
        <v>697</v>
      </c>
      <c r="F120" s="17" t="s">
        <v>248</v>
      </c>
      <c r="G120" s="17" t="s">
        <v>249</v>
      </c>
      <c r="H120" s="18">
        <f>ROUND(SUMPRODUCT(SUMIF(Final!$G$5:$G$331,CashReserveLevy!D120:F120,Final!$C$5:$C$331)),0)</f>
        <v>7405765</v>
      </c>
      <c r="I120" s="18">
        <f t="shared" si="6"/>
        <v>1481153</v>
      </c>
      <c r="J120" s="18">
        <f>ROUND(SUMPRODUCT(SUMIF(Final!$G$5:$G$331,CashReserveLevy!D120:F120,Final!$E$5:$E$331)),0)</f>
        <v>1561462</v>
      </c>
      <c r="K120" s="18">
        <f t="shared" si="7"/>
        <v>0</v>
      </c>
      <c r="L120" s="18">
        <f>INDEX(ActualCRLevy_SAS!$A$2:$D$328,MATCH(CashReserveLevy!$C120,ActualCRLevy_SAS!$B$2:$B$328,0),4)</f>
        <v>0</v>
      </c>
      <c r="M120" s="19" t="str">
        <f t="shared" si="8"/>
        <v/>
      </c>
      <c r="N120" s="1" t="str">
        <f t="shared" si="9"/>
        <v/>
      </c>
      <c r="O120" s="1" t="str">
        <f t="shared" si="10"/>
        <v/>
      </c>
    </row>
    <row r="121" spans="1:15" x14ac:dyDescent="0.2">
      <c r="A121" s="17">
        <v>2023</v>
      </c>
      <c r="B121" s="17" t="s">
        <v>8</v>
      </c>
      <c r="C121" s="17" t="s">
        <v>250</v>
      </c>
      <c r="D121" s="17" t="s">
        <v>697</v>
      </c>
      <c r="E121" s="17" t="s">
        <v>697</v>
      </c>
      <c r="F121" s="17" t="s">
        <v>250</v>
      </c>
      <c r="G121" s="17" t="s">
        <v>251</v>
      </c>
      <c r="H121" s="18">
        <f>ROUND(SUMPRODUCT(SUMIF(Final!$G$5:$G$331,CashReserveLevy!D121:F121,Final!$C$5:$C$331)),0)</f>
        <v>22902443</v>
      </c>
      <c r="I121" s="18">
        <f t="shared" si="6"/>
        <v>4580489</v>
      </c>
      <c r="J121" s="18">
        <f>ROUND(SUMPRODUCT(SUMIF(Final!$G$5:$G$331,CashReserveLevy!D121:F121,Final!$E$5:$E$331)),0)</f>
        <v>2305628</v>
      </c>
      <c r="K121" s="18">
        <f t="shared" si="7"/>
        <v>2274861</v>
      </c>
      <c r="L121" s="18">
        <f>INDEX(ActualCRLevy_SAS!$A$2:$D$328,MATCH(CashReserveLevy!$C121,ActualCRLevy_SAS!$B$2:$B$328,0),4)</f>
        <v>900000</v>
      </c>
      <c r="M121" s="19" t="str">
        <f t="shared" si="8"/>
        <v/>
      </c>
      <c r="N121" s="1" t="str">
        <f t="shared" si="9"/>
        <v/>
      </c>
      <c r="O121" s="1" t="str">
        <f t="shared" si="10"/>
        <v/>
      </c>
    </row>
    <row r="122" spans="1:15" x14ac:dyDescent="0.2">
      <c r="A122" s="17">
        <v>2023</v>
      </c>
      <c r="B122" s="17" t="s">
        <v>0</v>
      </c>
      <c r="C122" s="17" t="s">
        <v>252</v>
      </c>
      <c r="D122" s="17" t="s">
        <v>697</v>
      </c>
      <c r="E122" s="17" t="s">
        <v>697</v>
      </c>
      <c r="F122" s="17" t="s">
        <v>252</v>
      </c>
      <c r="G122" s="17" t="s">
        <v>253</v>
      </c>
      <c r="H122" s="18">
        <f>ROUND(SUMPRODUCT(SUMIF(Final!$G$5:$G$331,CashReserveLevy!D122:F122,Final!$C$5:$C$331)),0)</f>
        <v>4069542</v>
      </c>
      <c r="I122" s="18">
        <f t="shared" si="6"/>
        <v>813908</v>
      </c>
      <c r="J122" s="18">
        <f>ROUND(SUMPRODUCT(SUMIF(Final!$G$5:$G$331,CashReserveLevy!D122:F122,Final!$E$5:$E$331)),0)</f>
        <v>924897</v>
      </c>
      <c r="K122" s="18">
        <f t="shared" si="7"/>
        <v>0</v>
      </c>
      <c r="L122" s="18">
        <f>INDEX(ActualCRLevy_SAS!$A$2:$D$328,MATCH(CashReserveLevy!$C122,ActualCRLevy_SAS!$B$2:$B$328,0),4)</f>
        <v>0</v>
      </c>
      <c r="M122" s="19" t="str">
        <f t="shared" si="8"/>
        <v/>
      </c>
      <c r="N122" s="1" t="str">
        <f t="shared" si="9"/>
        <v/>
      </c>
      <c r="O122" s="1" t="str">
        <f t="shared" si="10"/>
        <v/>
      </c>
    </row>
    <row r="123" spans="1:15" x14ac:dyDescent="0.2">
      <c r="A123" s="17">
        <v>2023</v>
      </c>
      <c r="B123" s="17" t="s">
        <v>5</v>
      </c>
      <c r="C123" s="17" t="s">
        <v>254</v>
      </c>
      <c r="D123" s="17" t="s">
        <v>697</v>
      </c>
      <c r="E123" s="17" t="s">
        <v>697</v>
      </c>
      <c r="F123" s="17" t="s">
        <v>254</v>
      </c>
      <c r="G123" s="17" t="s">
        <v>255</v>
      </c>
      <c r="H123" s="18">
        <f>ROUND(SUMPRODUCT(SUMIF(Final!$G$5:$G$331,CashReserveLevy!D123:F123,Final!$C$5:$C$331)),0)</f>
        <v>5337872</v>
      </c>
      <c r="I123" s="18">
        <f t="shared" si="6"/>
        <v>1067574</v>
      </c>
      <c r="J123" s="18">
        <f>ROUND(SUMPRODUCT(SUMIF(Final!$G$5:$G$331,CashReserveLevy!D123:F123,Final!$E$5:$E$331)),0)</f>
        <v>2062066</v>
      </c>
      <c r="K123" s="18">
        <f t="shared" si="7"/>
        <v>0</v>
      </c>
      <c r="L123" s="18">
        <f>INDEX(ActualCRLevy_SAS!$A$2:$D$328,MATCH(CashReserveLevy!$C123,ActualCRLevy_SAS!$B$2:$B$328,0),4)</f>
        <v>0</v>
      </c>
      <c r="M123" s="19" t="str">
        <f t="shared" si="8"/>
        <v/>
      </c>
      <c r="N123" s="1" t="str">
        <f t="shared" si="9"/>
        <v/>
      </c>
      <c r="O123" s="1" t="str">
        <f t="shared" si="10"/>
        <v/>
      </c>
    </row>
    <row r="124" spans="1:15" x14ac:dyDescent="0.2">
      <c r="A124" s="17">
        <v>2023</v>
      </c>
      <c r="B124" s="17" t="s">
        <v>14</v>
      </c>
      <c r="C124" s="17" t="s">
        <v>256</v>
      </c>
      <c r="D124" s="17" t="s">
        <v>697</v>
      </c>
      <c r="E124" s="17" t="s">
        <v>697</v>
      </c>
      <c r="F124" s="17" t="s">
        <v>256</v>
      </c>
      <c r="G124" s="17" t="s">
        <v>257</v>
      </c>
      <c r="H124" s="18">
        <f>ROUND(SUMPRODUCT(SUMIF(Final!$G$5:$G$331,CashReserveLevy!D124:F124,Final!$C$5:$C$331)),0)</f>
        <v>6052017</v>
      </c>
      <c r="I124" s="18">
        <f t="shared" si="6"/>
        <v>1210403</v>
      </c>
      <c r="J124" s="18">
        <f>ROUND(SUMPRODUCT(SUMIF(Final!$G$5:$G$331,CashReserveLevy!D124:F124,Final!$E$5:$E$331)),0)</f>
        <v>-636278</v>
      </c>
      <c r="K124" s="18">
        <f t="shared" si="7"/>
        <v>1846681</v>
      </c>
      <c r="L124" s="18">
        <f>INDEX(ActualCRLevy_SAS!$A$2:$D$328,MATCH(CashReserveLevy!$C124,ActualCRLevy_SAS!$B$2:$B$328,0),4)</f>
        <v>715000</v>
      </c>
      <c r="M124" s="19" t="str">
        <f t="shared" si="8"/>
        <v/>
      </c>
      <c r="N124" s="1" t="str">
        <f t="shared" si="9"/>
        <v/>
      </c>
      <c r="O124" s="1" t="str">
        <f t="shared" si="10"/>
        <v/>
      </c>
    </row>
    <row r="125" spans="1:15" x14ac:dyDescent="0.2">
      <c r="A125" s="17">
        <v>2023</v>
      </c>
      <c r="B125" s="17" t="s">
        <v>14</v>
      </c>
      <c r="C125" s="17" t="s">
        <v>258</v>
      </c>
      <c r="D125" s="17" t="s">
        <v>697</v>
      </c>
      <c r="E125" s="17" t="s">
        <v>697</v>
      </c>
      <c r="F125" s="17" t="s">
        <v>258</v>
      </c>
      <c r="G125" s="17" t="s">
        <v>259</v>
      </c>
      <c r="H125" s="18">
        <f>ROUND(SUMPRODUCT(SUMIF(Final!$G$5:$G$331,CashReserveLevy!D125:F125,Final!$C$5:$C$331)),0)</f>
        <v>15969022</v>
      </c>
      <c r="I125" s="18">
        <f t="shared" si="6"/>
        <v>3193804</v>
      </c>
      <c r="J125" s="18">
        <f>ROUND(SUMPRODUCT(SUMIF(Final!$G$5:$G$331,CashReserveLevy!D125:F125,Final!$E$5:$E$331)),0)</f>
        <v>2175591</v>
      </c>
      <c r="K125" s="18">
        <f t="shared" si="7"/>
        <v>1018213</v>
      </c>
      <c r="L125" s="18">
        <f>INDEX(ActualCRLevy_SAS!$A$2:$D$328,MATCH(CashReserveLevy!$C125,ActualCRLevy_SAS!$B$2:$B$328,0),4)</f>
        <v>900000</v>
      </c>
      <c r="M125" s="19" t="str">
        <f t="shared" si="8"/>
        <v/>
      </c>
      <c r="N125" s="1" t="str">
        <f t="shared" si="9"/>
        <v/>
      </c>
      <c r="O125" s="1" t="str">
        <f t="shared" si="10"/>
        <v/>
      </c>
    </row>
    <row r="126" spans="1:15" x14ac:dyDescent="0.2">
      <c r="A126" s="17">
        <v>2023</v>
      </c>
      <c r="B126" s="17" t="s">
        <v>5</v>
      </c>
      <c r="C126" s="17" t="s">
        <v>260</v>
      </c>
      <c r="D126" s="17" t="s">
        <v>697</v>
      </c>
      <c r="E126" s="17" t="s">
        <v>697</v>
      </c>
      <c r="F126" s="17" t="s">
        <v>260</v>
      </c>
      <c r="G126" s="17" t="s">
        <v>261</v>
      </c>
      <c r="H126" s="18">
        <f>ROUND(SUMPRODUCT(SUMIF(Final!$G$5:$G$331,CashReserveLevy!D126:F126,Final!$C$5:$C$331)),0)</f>
        <v>20589641</v>
      </c>
      <c r="I126" s="18">
        <f t="shared" si="6"/>
        <v>4117928</v>
      </c>
      <c r="J126" s="18">
        <f>ROUND(SUMPRODUCT(SUMIF(Final!$G$5:$G$331,CashReserveLevy!D126:F126,Final!$E$5:$E$331)),0)</f>
        <v>2890969</v>
      </c>
      <c r="K126" s="18">
        <f t="shared" si="7"/>
        <v>1226959</v>
      </c>
      <c r="L126" s="18">
        <f>INDEX(ActualCRLevy_SAS!$A$2:$D$328,MATCH(CashReserveLevy!$C126,ActualCRLevy_SAS!$B$2:$B$328,0),4)</f>
        <v>1226959</v>
      </c>
      <c r="M126" s="19" t="str">
        <f t="shared" si="8"/>
        <v>Max</v>
      </c>
      <c r="N126" s="1" t="str">
        <f t="shared" si="9"/>
        <v/>
      </c>
      <c r="O126" s="1" t="str">
        <f t="shared" si="10"/>
        <v/>
      </c>
    </row>
    <row r="127" spans="1:15" x14ac:dyDescent="0.2">
      <c r="A127" s="17">
        <v>2023</v>
      </c>
      <c r="B127" s="17" t="s">
        <v>8</v>
      </c>
      <c r="C127" s="17" t="s">
        <v>262</v>
      </c>
      <c r="D127" s="17" t="s">
        <v>697</v>
      </c>
      <c r="E127" s="17" t="s">
        <v>697</v>
      </c>
      <c r="F127" s="17" t="s">
        <v>262</v>
      </c>
      <c r="G127" s="17" t="s">
        <v>263</v>
      </c>
      <c r="H127" s="18">
        <f>ROUND(SUMPRODUCT(SUMIF(Final!$G$5:$G$331,CashReserveLevy!D127:F127,Final!$C$5:$C$331)),0)</f>
        <v>6334148</v>
      </c>
      <c r="I127" s="18">
        <f t="shared" si="6"/>
        <v>1266830</v>
      </c>
      <c r="J127" s="18">
        <f>ROUND(SUMPRODUCT(SUMIF(Final!$G$5:$G$331,CashReserveLevy!D127:F127,Final!$E$5:$E$331)),0)</f>
        <v>2247741</v>
      </c>
      <c r="K127" s="18">
        <f t="shared" si="7"/>
        <v>0</v>
      </c>
      <c r="L127" s="18">
        <f>INDEX(ActualCRLevy_SAS!$A$2:$D$328,MATCH(CashReserveLevy!$C127,ActualCRLevy_SAS!$B$2:$B$328,0),4)</f>
        <v>0</v>
      </c>
      <c r="M127" s="19" t="str">
        <f t="shared" si="8"/>
        <v/>
      </c>
      <c r="N127" s="1" t="str">
        <f t="shared" si="9"/>
        <v/>
      </c>
      <c r="O127" s="1" t="str">
        <f t="shared" si="10"/>
        <v/>
      </c>
    </row>
    <row r="128" spans="1:15" x14ac:dyDescent="0.2">
      <c r="A128" s="17">
        <v>2023</v>
      </c>
      <c r="B128" s="17" t="s">
        <v>5</v>
      </c>
      <c r="C128" s="17" t="s">
        <v>264</v>
      </c>
      <c r="D128" s="17" t="s">
        <v>697</v>
      </c>
      <c r="E128" s="17" t="s">
        <v>697</v>
      </c>
      <c r="F128" s="17" t="s">
        <v>264</v>
      </c>
      <c r="G128" s="17" t="s">
        <v>265</v>
      </c>
      <c r="H128" s="18">
        <f>ROUND(SUMPRODUCT(SUMIF(Final!$G$5:$G$331,CashReserveLevy!D128:F128,Final!$C$5:$C$331)),0)</f>
        <v>8411527</v>
      </c>
      <c r="I128" s="18">
        <f t="shared" si="6"/>
        <v>1682305</v>
      </c>
      <c r="J128" s="18">
        <f>ROUND(SUMPRODUCT(SUMIF(Final!$G$5:$G$331,CashReserveLevy!D128:F128,Final!$E$5:$E$331)),0)</f>
        <v>880876</v>
      </c>
      <c r="K128" s="18">
        <f t="shared" si="7"/>
        <v>801429</v>
      </c>
      <c r="L128" s="18">
        <f>INDEX(ActualCRLevy_SAS!$A$2:$D$328,MATCH(CashReserveLevy!$C128,ActualCRLevy_SAS!$B$2:$B$328,0),4)</f>
        <v>755000</v>
      </c>
      <c r="M128" s="19" t="str">
        <f t="shared" si="8"/>
        <v/>
      </c>
      <c r="N128" s="1" t="str">
        <f t="shared" si="9"/>
        <v/>
      </c>
      <c r="O128" s="1" t="str">
        <f t="shared" si="10"/>
        <v/>
      </c>
    </row>
    <row r="129" spans="1:15" x14ac:dyDescent="0.2">
      <c r="A129" s="17">
        <v>2023</v>
      </c>
      <c r="B129" s="17" t="s">
        <v>0</v>
      </c>
      <c r="C129" s="17" t="s">
        <v>266</v>
      </c>
      <c r="D129" s="17" t="s">
        <v>697</v>
      </c>
      <c r="E129" s="17" t="s">
        <v>697</v>
      </c>
      <c r="F129" s="17" t="s">
        <v>266</v>
      </c>
      <c r="G129" s="17" t="s">
        <v>267</v>
      </c>
      <c r="H129" s="18">
        <f>ROUND(SUMPRODUCT(SUMIF(Final!$G$5:$G$331,CashReserveLevy!D129:F129,Final!$C$5:$C$331)),0)</f>
        <v>6889526</v>
      </c>
      <c r="I129" s="18">
        <f t="shared" si="6"/>
        <v>1377905</v>
      </c>
      <c r="J129" s="18">
        <f>ROUND(SUMPRODUCT(SUMIF(Final!$G$5:$G$331,CashReserveLevy!D129:F129,Final!$E$5:$E$331)),0)</f>
        <v>1618830</v>
      </c>
      <c r="K129" s="18">
        <f t="shared" si="7"/>
        <v>0</v>
      </c>
      <c r="L129" s="18">
        <f>INDEX(ActualCRLevy_SAS!$A$2:$D$328,MATCH(CashReserveLevy!$C129,ActualCRLevy_SAS!$B$2:$B$328,0),4)</f>
        <v>0</v>
      </c>
      <c r="M129" s="19" t="str">
        <f t="shared" si="8"/>
        <v/>
      </c>
      <c r="N129" s="1" t="str">
        <f t="shared" si="9"/>
        <v/>
      </c>
      <c r="O129" s="1" t="str">
        <f t="shared" si="10"/>
        <v/>
      </c>
    </row>
    <row r="130" spans="1:15" x14ac:dyDescent="0.2">
      <c r="A130" s="17">
        <v>2023</v>
      </c>
      <c r="B130" s="17" t="s">
        <v>8</v>
      </c>
      <c r="C130" s="17" t="s">
        <v>268</v>
      </c>
      <c r="D130" s="17" t="s">
        <v>697</v>
      </c>
      <c r="E130" s="17" t="s">
        <v>697</v>
      </c>
      <c r="F130" s="17" t="s">
        <v>268</v>
      </c>
      <c r="G130" s="17" t="s">
        <v>269</v>
      </c>
      <c r="H130" s="18">
        <f>ROUND(SUMPRODUCT(SUMIF(Final!$G$5:$G$331,CashReserveLevy!D130:F130,Final!$C$5:$C$331)),0)</f>
        <v>3319349</v>
      </c>
      <c r="I130" s="18">
        <f t="shared" si="6"/>
        <v>663870</v>
      </c>
      <c r="J130" s="18">
        <f>ROUND(SUMPRODUCT(SUMIF(Final!$G$5:$G$331,CashReserveLevy!D130:F130,Final!$E$5:$E$331)),0)</f>
        <v>1488806</v>
      </c>
      <c r="K130" s="18">
        <f t="shared" si="7"/>
        <v>0</v>
      </c>
      <c r="L130" s="18">
        <f>INDEX(ActualCRLevy_SAS!$A$2:$D$328,MATCH(CashReserveLevy!$C130,ActualCRLevy_SAS!$B$2:$B$328,0),4)</f>
        <v>0</v>
      </c>
      <c r="M130" s="19" t="str">
        <f t="shared" si="8"/>
        <v/>
      </c>
      <c r="N130" s="1" t="str">
        <f t="shared" si="9"/>
        <v/>
      </c>
      <c r="O130" s="1" t="str">
        <f t="shared" si="10"/>
        <v/>
      </c>
    </row>
    <row r="131" spans="1:15" x14ac:dyDescent="0.2">
      <c r="A131" s="17">
        <v>2023</v>
      </c>
      <c r="B131" s="17" t="s">
        <v>5</v>
      </c>
      <c r="C131" s="17" t="s">
        <v>270</v>
      </c>
      <c r="D131" s="17" t="s">
        <v>697</v>
      </c>
      <c r="E131" s="17" t="s">
        <v>697</v>
      </c>
      <c r="F131" s="17" t="s">
        <v>270</v>
      </c>
      <c r="G131" s="17" t="s">
        <v>271</v>
      </c>
      <c r="H131" s="18">
        <f>ROUND(SUMPRODUCT(SUMIF(Final!$G$5:$G$331,CashReserveLevy!D131:F131,Final!$C$5:$C$331)),0)</f>
        <v>15920358</v>
      </c>
      <c r="I131" s="18">
        <f t="shared" si="6"/>
        <v>3184072</v>
      </c>
      <c r="J131" s="18">
        <f>ROUND(SUMPRODUCT(SUMIF(Final!$G$5:$G$331,CashReserveLevy!D131:F131,Final!$E$5:$E$331)),0)</f>
        <v>1722430</v>
      </c>
      <c r="K131" s="18">
        <f t="shared" si="7"/>
        <v>1461642</v>
      </c>
      <c r="L131" s="18">
        <f>INDEX(ActualCRLevy_SAS!$A$2:$D$328,MATCH(CashReserveLevy!$C131,ActualCRLevy_SAS!$B$2:$B$328,0),4)</f>
        <v>693006</v>
      </c>
      <c r="M131" s="19" t="str">
        <f t="shared" si="8"/>
        <v/>
      </c>
      <c r="N131" s="1" t="str">
        <f t="shared" si="9"/>
        <v/>
      </c>
      <c r="O131" s="1" t="str">
        <f t="shared" si="10"/>
        <v/>
      </c>
    </row>
    <row r="132" spans="1:15" x14ac:dyDescent="0.2">
      <c r="A132" s="17">
        <v>2023</v>
      </c>
      <c r="B132" s="17" t="s">
        <v>8</v>
      </c>
      <c r="C132" s="17" t="s">
        <v>272</v>
      </c>
      <c r="D132" s="17" t="s">
        <v>697</v>
      </c>
      <c r="E132" s="17" t="s">
        <v>697</v>
      </c>
      <c r="F132" s="17" t="s">
        <v>272</v>
      </c>
      <c r="G132" s="17" t="s">
        <v>273</v>
      </c>
      <c r="H132" s="18">
        <f>ROUND(SUMPRODUCT(SUMIF(Final!$G$5:$G$331,CashReserveLevy!D132:F132,Final!$C$5:$C$331)),0)</f>
        <v>17226164</v>
      </c>
      <c r="I132" s="18">
        <f t="shared" ref="I132:I195" si="11">ROUND(H132*0.2,0)</f>
        <v>3445233</v>
      </c>
      <c r="J132" s="18">
        <f>ROUND(SUMPRODUCT(SUMIF(Final!$G$5:$G$331,CashReserveLevy!D132:F132,Final!$E$5:$E$331)),0)</f>
        <v>2996401</v>
      </c>
      <c r="K132" s="18">
        <f t="shared" ref="K132:K195" si="12">IF(I132&gt;J132,I132-J132,0)</f>
        <v>448832</v>
      </c>
      <c r="L132" s="18">
        <f>INDEX(ActualCRLevy_SAS!$A$2:$D$328,MATCH(CashReserveLevy!$C132,ActualCRLevy_SAS!$B$2:$B$328,0),4)</f>
        <v>440000</v>
      </c>
      <c r="M132" s="19" t="str">
        <f t="shared" ref="M132:M195" si="13">IF(AND(L132=K132,K132&gt;0),"Max","")</f>
        <v/>
      </c>
      <c r="N132" s="1" t="str">
        <f t="shared" ref="N132:N195" si="14">IF(AND(L132&lt;K132,L132=0),"No Levy but have Capacity","")</f>
        <v/>
      </c>
      <c r="O132" s="1" t="str">
        <f t="shared" si="10"/>
        <v/>
      </c>
    </row>
    <row r="133" spans="1:15" x14ac:dyDescent="0.2">
      <c r="A133" s="17">
        <v>2023</v>
      </c>
      <c r="B133" s="17" t="s">
        <v>14</v>
      </c>
      <c r="C133" s="17" t="s">
        <v>274</v>
      </c>
      <c r="D133" s="17" t="s">
        <v>697</v>
      </c>
      <c r="E133" s="17" t="s">
        <v>697</v>
      </c>
      <c r="F133" s="17" t="s">
        <v>274</v>
      </c>
      <c r="G133" s="17" t="s">
        <v>275</v>
      </c>
      <c r="H133" s="18">
        <f>ROUND(SUMPRODUCT(SUMIF(Final!$G$5:$G$331,CashReserveLevy!D133:F133,Final!$C$5:$C$331)),0)</f>
        <v>3630037</v>
      </c>
      <c r="I133" s="18">
        <f t="shared" si="11"/>
        <v>726007</v>
      </c>
      <c r="J133" s="18">
        <f>ROUND(SUMPRODUCT(SUMIF(Final!$G$5:$G$331,CashReserveLevy!D133:F133,Final!$E$5:$E$331)),0)</f>
        <v>3279618</v>
      </c>
      <c r="K133" s="18">
        <f t="shared" si="12"/>
        <v>0</v>
      </c>
      <c r="L133" s="18">
        <f>INDEX(ActualCRLevy_SAS!$A$2:$D$328,MATCH(CashReserveLevy!$C133,ActualCRLevy_SAS!$B$2:$B$328,0),4)</f>
        <v>0</v>
      </c>
      <c r="M133" s="19" t="str">
        <f t="shared" si="13"/>
        <v/>
      </c>
      <c r="N133" s="1" t="str">
        <f t="shared" si="14"/>
        <v/>
      </c>
      <c r="O133" s="1" t="str">
        <f t="shared" si="10"/>
        <v/>
      </c>
    </row>
    <row r="134" spans="1:15" x14ac:dyDescent="0.2">
      <c r="A134" s="17">
        <v>2023</v>
      </c>
      <c r="B134" s="17" t="s">
        <v>11</v>
      </c>
      <c r="C134" s="17" t="s">
        <v>276</v>
      </c>
      <c r="D134" s="17" t="s">
        <v>697</v>
      </c>
      <c r="E134" s="17" t="s">
        <v>697</v>
      </c>
      <c r="F134" s="17" t="s">
        <v>276</v>
      </c>
      <c r="G134" s="17" t="s">
        <v>277</v>
      </c>
      <c r="H134" s="18">
        <f>ROUND(SUMPRODUCT(SUMIF(Final!$G$5:$G$331,CashReserveLevy!D134:F134,Final!$C$5:$C$331)),0)</f>
        <v>8315760</v>
      </c>
      <c r="I134" s="18">
        <f t="shared" si="11"/>
        <v>1663152</v>
      </c>
      <c r="J134" s="18">
        <f>ROUND(SUMPRODUCT(SUMIF(Final!$G$5:$G$331,CashReserveLevy!D134:F134,Final!$E$5:$E$331)),0)</f>
        <v>1630066</v>
      </c>
      <c r="K134" s="18">
        <f t="shared" si="12"/>
        <v>33086</v>
      </c>
      <c r="L134" s="18">
        <f>INDEX(ActualCRLevy_SAS!$A$2:$D$328,MATCH(CashReserveLevy!$C134,ActualCRLevy_SAS!$B$2:$B$328,0),4)</f>
        <v>33086</v>
      </c>
      <c r="M134" s="19" t="str">
        <f t="shared" si="13"/>
        <v>Max</v>
      </c>
      <c r="N134" s="1" t="str">
        <f t="shared" si="14"/>
        <v/>
      </c>
      <c r="O134" s="1" t="str">
        <f t="shared" si="10"/>
        <v/>
      </c>
    </row>
    <row r="135" spans="1:15" x14ac:dyDescent="0.2">
      <c r="A135" s="17">
        <v>2023</v>
      </c>
      <c r="B135" s="17" t="s">
        <v>20</v>
      </c>
      <c r="C135" s="17" t="s">
        <v>278</v>
      </c>
      <c r="D135" s="17" t="s">
        <v>697</v>
      </c>
      <c r="E135" s="17" t="s">
        <v>697</v>
      </c>
      <c r="F135" s="17" t="s">
        <v>278</v>
      </c>
      <c r="G135" s="17" t="s">
        <v>279</v>
      </c>
      <c r="H135" s="18">
        <f>ROUND(SUMPRODUCT(SUMIF(Final!$G$5:$G$331,CashReserveLevy!D135:F135,Final!$C$5:$C$331)),0)</f>
        <v>7927751</v>
      </c>
      <c r="I135" s="18">
        <f t="shared" si="11"/>
        <v>1585550</v>
      </c>
      <c r="J135" s="18">
        <f>ROUND(SUMPRODUCT(SUMIF(Final!$G$5:$G$331,CashReserveLevy!D135:F135,Final!$E$5:$E$331)),0)</f>
        <v>2136038</v>
      </c>
      <c r="K135" s="18">
        <f t="shared" si="12"/>
        <v>0</v>
      </c>
      <c r="L135" s="18">
        <f>INDEX(ActualCRLevy_SAS!$A$2:$D$328,MATCH(CashReserveLevy!$C135,ActualCRLevy_SAS!$B$2:$B$328,0),4)</f>
        <v>0</v>
      </c>
      <c r="M135" s="19" t="str">
        <f t="shared" si="13"/>
        <v/>
      </c>
      <c r="N135" s="1" t="str">
        <f t="shared" si="14"/>
        <v/>
      </c>
      <c r="O135" s="1" t="str">
        <f t="shared" si="10"/>
        <v/>
      </c>
    </row>
    <row r="136" spans="1:15" x14ac:dyDescent="0.2">
      <c r="A136" s="17">
        <v>2023</v>
      </c>
      <c r="B136" s="17" t="s">
        <v>11</v>
      </c>
      <c r="C136" s="17" t="s">
        <v>280</v>
      </c>
      <c r="D136" s="17" t="s">
        <v>697</v>
      </c>
      <c r="E136" s="17" t="s">
        <v>697</v>
      </c>
      <c r="F136" s="17" t="s">
        <v>280</v>
      </c>
      <c r="G136" s="17" t="s">
        <v>281</v>
      </c>
      <c r="H136" s="18">
        <f>ROUND(SUMPRODUCT(SUMIF(Final!$G$5:$G$331,CashReserveLevy!D136:F136,Final!$C$5:$C$331)),0)</f>
        <v>8095637</v>
      </c>
      <c r="I136" s="18">
        <f t="shared" si="11"/>
        <v>1619127</v>
      </c>
      <c r="J136" s="18">
        <f>ROUND(SUMPRODUCT(SUMIF(Final!$G$5:$G$331,CashReserveLevy!D136:F136,Final!$E$5:$E$331)),0)</f>
        <v>2005610</v>
      </c>
      <c r="K136" s="18">
        <f t="shared" si="12"/>
        <v>0</v>
      </c>
      <c r="L136" s="18">
        <f>INDEX(ActualCRLevy_SAS!$A$2:$D$328,MATCH(CashReserveLevy!$C136,ActualCRLevy_SAS!$B$2:$B$328,0),4)</f>
        <v>0</v>
      </c>
      <c r="M136" s="19" t="str">
        <f t="shared" si="13"/>
        <v/>
      </c>
      <c r="N136" s="1" t="str">
        <f t="shared" si="14"/>
        <v/>
      </c>
      <c r="O136" s="1" t="str">
        <f t="shared" si="10"/>
        <v/>
      </c>
    </row>
    <row r="137" spans="1:15" x14ac:dyDescent="0.2">
      <c r="A137" s="17">
        <v>2023</v>
      </c>
      <c r="B137" s="17" t="s">
        <v>20</v>
      </c>
      <c r="C137" s="17" t="s">
        <v>282</v>
      </c>
      <c r="D137" s="17" t="s">
        <v>697</v>
      </c>
      <c r="E137" s="17" t="s">
        <v>697</v>
      </c>
      <c r="F137" s="17" t="s">
        <v>282</v>
      </c>
      <c r="G137" s="17" t="s">
        <v>283</v>
      </c>
      <c r="H137" s="18">
        <f>ROUND(SUMPRODUCT(SUMIF(Final!$G$5:$G$331,CashReserveLevy!D137:F137,Final!$C$5:$C$331)),0)</f>
        <v>4883046</v>
      </c>
      <c r="I137" s="18">
        <f t="shared" si="11"/>
        <v>976609</v>
      </c>
      <c r="J137" s="18">
        <f>ROUND(SUMPRODUCT(SUMIF(Final!$G$5:$G$331,CashReserveLevy!D137:F137,Final!$E$5:$E$331)),0)</f>
        <v>925812</v>
      </c>
      <c r="K137" s="18">
        <f t="shared" si="12"/>
        <v>50797</v>
      </c>
      <c r="L137" s="18">
        <f>INDEX(ActualCRLevy_SAS!$A$2:$D$328,MATCH(CashReserveLevy!$C137,ActualCRLevy_SAS!$B$2:$B$328,0),4)</f>
        <v>50797</v>
      </c>
      <c r="M137" s="19" t="str">
        <f t="shared" si="13"/>
        <v>Max</v>
      </c>
      <c r="N137" s="1" t="str">
        <f t="shared" si="14"/>
        <v/>
      </c>
      <c r="O137" s="1" t="str">
        <f t="shared" si="10"/>
        <v/>
      </c>
    </row>
    <row r="138" spans="1:15" x14ac:dyDescent="0.2">
      <c r="A138" s="17">
        <v>2023</v>
      </c>
      <c r="B138" s="17" t="s">
        <v>28</v>
      </c>
      <c r="C138" s="17" t="s">
        <v>284</v>
      </c>
      <c r="D138" s="17" t="s">
        <v>697</v>
      </c>
      <c r="E138" s="17" t="s">
        <v>697</v>
      </c>
      <c r="F138" s="17" t="s">
        <v>284</v>
      </c>
      <c r="G138" s="17" t="s">
        <v>285</v>
      </c>
      <c r="H138" s="18">
        <f>ROUND(SUMPRODUCT(SUMIF(Final!$G$5:$G$331,CashReserveLevy!D138:F138,Final!$C$5:$C$331)),0)</f>
        <v>15086503</v>
      </c>
      <c r="I138" s="18">
        <f t="shared" si="11"/>
        <v>3017301</v>
      </c>
      <c r="J138" s="18">
        <f>ROUND(SUMPRODUCT(SUMIF(Final!$G$5:$G$331,CashReserveLevy!D138:F138,Final!$E$5:$E$331)),0)</f>
        <v>2620934</v>
      </c>
      <c r="K138" s="18">
        <f t="shared" si="12"/>
        <v>396367</v>
      </c>
      <c r="L138" s="18">
        <f>INDEX(ActualCRLevy_SAS!$A$2:$D$328,MATCH(CashReserveLevy!$C138,ActualCRLevy_SAS!$B$2:$B$328,0),4)</f>
        <v>396367</v>
      </c>
      <c r="M138" s="19" t="str">
        <f t="shared" si="13"/>
        <v>Max</v>
      </c>
      <c r="N138" s="1" t="str">
        <f t="shared" si="14"/>
        <v/>
      </c>
      <c r="O138" s="1" t="str">
        <f t="shared" si="10"/>
        <v/>
      </c>
    </row>
    <row r="139" spans="1:15" x14ac:dyDescent="0.2">
      <c r="A139" s="17">
        <v>2023</v>
      </c>
      <c r="B139" s="17" t="s">
        <v>5</v>
      </c>
      <c r="C139" s="17" t="s">
        <v>286</v>
      </c>
      <c r="D139" s="17" t="s">
        <v>697</v>
      </c>
      <c r="E139" s="17" t="s">
        <v>697</v>
      </c>
      <c r="F139" s="17" t="s">
        <v>286</v>
      </c>
      <c r="G139" s="17" t="s">
        <v>287</v>
      </c>
      <c r="H139" s="18">
        <f>ROUND(SUMPRODUCT(SUMIF(Final!$G$5:$G$331,CashReserveLevy!D139:F139,Final!$C$5:$C$331)),0)</f>
        <v>6109981</v>
      </c>
      <c r="I139" s="18">
        <f t="shared" si="11"/>
        <v>1221996</v>
      </c>
      <c r="J139" s="18">
        <f>ROUND(SUMPRODUCT(SUMIF(Final!$G$5:$G$331,CashReserveLevy!D139:F139,Final!$E$5:$E$331)),0)</f>
        <v>1146178</v>
      </c>
      <c r="K139" s="18">
        <f t="shared" si="12"/>
        <v>75818</v>
      </c>
      <c r="L139" s="18">
        <f>INDEX(ActualCRLevy_SAS!$A$2:$D$328,MATCH(CashReserveLevy!$C139,ActualCRLevy_SAS!$B$2:$B$328,0),4)</f>
        <v>75818</v>
      </c>
      <c r="M139" s="19" t="str">
        <f t="shared" si="13"/>
        <v>Max</v>
      </c>
      <c r="N139" s="1" t="str">
        <f t="shared" si="14"/>
        <v/>
      </c>
      <c r="O139" s="1" t="str">
        <f t="shared" si="10"/>
        <v/>
      </c>
    </row>
    <row r="140" spans="1:15" x14ac:dyDescent="0.2">
      <c r="A140" s="17">
        <v>2023</v>
      </c>
      <c r="B140" s="17" t="s">
        <v>5</v>
      </c>
      <c r="C140" s="17" t="s">
        <v>288</v>
      </c>
      <c r="D140" s="17" t="s">
        <v>697</v>
      </c>
      <c r="E140" s="17" t="s">
        <v>697</v>
      </c>
      <c r="F140" s="17" t="s">
        <v>288</v>
      </c>
      <c r="G140" s="17" t="s">
        <v>289</v>
      </c>
      <c r="H140" s="18">
        <f>ROUND(SUMPRODUCT(SUMIF(Final!$G$5:$G$331,CashReserveLevy!D140:F140,Final!$C$5:$C$331)),0)</f>
        <v>8770370</v>
      </c>
      <c r="I140" s="18">
        <f t="shared" si="11"/>
        <v>1754074</v>
      </c>
      <c r="J140" s="18">
        <f>ROUND(SUMPRODUCT(SUMIF(Final!$G$5:$G$331,CashReserveLevy!D140:F140,Final!$E$5:$E$331)),0)</f>
        <v>2156537</v>
      </c>
      <c r="K140" s="18">
        <f t="shared" si="12"/>
        <v>0</v>
      </c>
      <c r="L140" s="18">
        <f>INDEX(ActualCRLevy_SAS!$A$2:$D$328,MATCH(CashReserveLevy!$C140,ActualCRLevy_SAS!$B$2:$B$328,0),4)</f>
        <v>0</v>
      </c>
      <c r="M140" s="19" t="str">
        <f t="shared" si="13"/>
        <v/>
      </c>
      <c r="N140" s="1" t="str">
        <f t="shared" si="14"/>
        <v/>
      </c>
      <c r="O140" s="1" t="str">
        <f t="shared" si="10"/>
        <v/>
      </c>
    </row>
    <row r="141" spans="1:15" x14ac:dyDescent="0.2">
      <c r="A141" s="17">
        <v>2023</v>
      </c>
      <c r="B141" s="17" t="s">
        <v>14</v>
      </c>
      <c r="C141" s="17" t="s">
        <v>290</v>
      </c>
      <c r="D141" s="17" t="s">
        <v>697</v>
      </c>
      <c r="E141" s="17" t="s">
        <v>697</v>
      </c>
      <c r="F141" s="17" t="s">
        <v>290</v>
      </c>
      <c r="G141" s="17" t="s">
        <v>291</v>
      </c>
      <c r="H141" s="18">
        <f>ROUND(SUMPRODUCT(SUMIF(Final!$G$5:$G$331,CashReserveLevy!D141:F141,Final!$C$5:$C$331)),0)</f>
        <v>17006408</v>
      </c>
      <c r="I141" s="18">
        <f t="shared" si="11"/>
        <v>3401282</v>
      </c>
      <c r="J141" s="18">
        <f>ROUND(SUMPRODUCT(SUMIF(Final!$G$5:$G$331,CashReserveLevy!D141:F141,Final!$E$5:$E$331)),0)</f>
        <v>2836819</v>
      </c>
      <c r="K141" s="18">
        <f t="shared" si="12"/>
        <v>564463</v>
      </c>
      <c r="L141" s="18">
        <f>INDEX(ActualCRLevy_SAS!$A$2:$D$328,MATCH(CashReserveLevy!$C141,ActualCRLevy_SAS!$B$2:$B$328,0),4)</f>
        <v>250000</v>
      </c>
      <c r="M141" s="19" t="str">
        <f t="shared" si="13"/>
        <v/>
      </c>
      <c r="N141" s="1" t="str">
        <f t="shared" si="14"/>
        <v/>
      </c>
      <c r="O141" s="1" t="str">
        <f t="shared" ref="O141:O204" si="15">IF(L141&gt;K141,"Exceedes Maximum Limit","")</f>
        <v/>
      </c>
    </row>
    <row r="142" spans="1:15" x14ac:dyDescent="0.2">
      <c r="A142" s="17">
        <v>2023</v>
      </c>
      <c r="B142" s="17" t="s">
        <v>8</v>
      </c>
      <c r="C142" s="17" t="s">
        <v>292</v>
      </c>
      <c r="D142" s="17" t="s">
        <v>697</v>
      </c>
      <c r="E142" s="17" t="s">
        <v>697</v>
      </c>
      <c r="F142" s="17" t="s">
        <v>292</v>
      </c>
      <c r="G142" s="17" t="s">
        <v>687</v>
      </c>
      <c r="H142" s="18">
        <f>ROUND(SUMPRODUCT(SUMIF(Final!$G$5:$G$331,CashReserveLevy!D142:F142,Final!$C$5:$C$331)),0)</f>
        <v>9255707</v>
      </c>
      <c r="I142" s="18">
        <f t="shared" si="11"/>
        <v>1851141</v>
      </c>
      <c r="J142" s="18">
        <f>ROUND(SUMPRODUCT(SUMIF(Final!$G$5:$G$331,CashReserveLevy!D142:F142,Final!$E$5:$E$331)),0)</f>
        <v>2306449</v>
      </c>
      <c r="K142" s="18">
        <f t="shared" si="12"/>
        <v>0</v>
      </c>
      <c r="L142" s="18">
        <f>INDEX(ActualCRLevy_SAS!$A$2:$D$328,MATCH(CashReserveLevy!$C142,ActualCRLevy_SAS!$B$2:$B$328,0),4)</f>
        <v>0</v>
      </c>
      <c r="M142" s="19" t="str">
        <f t="shared" si="13"/>
        <v/>
      </c>
      <c r="N142" s="1" t="str">
        <f t="shared" si="14"/>
        <v/>
      </c>
      <c r="O142" s="1" t="str">
        <f t="shared" si="15"/>
        <v/>
      </c>
    </row>
    <row r="143" spans="1:15" x14ac:dyDescent="0.2">
      <c r="A143" s="17">
        <v>2023</v>
      </c>
      <c r="B143" s="17" t="s">
        <v>5</v>
      </c>
      <c r="C143" s="17" t="s">
        <v>293</v>
      </c>
      <c r="D143" s="17" t="s">
        <v>697</v>
      </c>
      <c r="E143" s="17" t="s">
        <v>697</v>
      </c>
      <c r="F143" s="17" t="s">
        <v>293</v>
      </c>
      <c r="G143" s="17" t="s">
        <v>294</v>
      </c>
      <c r="H143" s="18">
        <f>ROUND(SUMPRODUCT(SUMIF(Final!$G$5:$G$331,CashReserveLevy!D143:F143,Final!$C$5:$C$331)),0)</f>
        <v>17341266</v>
      </c>
      <c r="I143" s="18">
        <f t="shared" si="11"/>
        <v>3468253</v>
      </c>
      <c r="J143" s="18">
        <f>ROUND(SUMPRODUCT(SUMIF(Final!$G$5:$G$331,CashReserveLevy!D143:F143,Final!$E$5:$E$331)),0)</f>
        <v>4171013</v>
      </c>
      <c r="K143" s="18">
        <f t="shared" si="12"/>
        <v>0</v>
      </c>
      <c r="L143" s="18">
        <f>INDEX(ActualCRLevy_SAS!$A$2:$D$328,MATCH(CashReserveLevy!$C143,ActualCRLevy_SAS!$B$2:$B$328,0),4)</f>
        <v>0</v>
      </c>
      <c r="M143" s="19" t="str">
        <f t="shared" si="13"/>
        <v/>
      </c>
      <c r="N143" s="1" t="str">
        <f t="shared" si="14"/>
        <v/>
      </c>
      <c r="O143" s="1" t="str">
        <f t="shared" si="15"/>
        <v/>
      </c>
    </row>
    <row r="144" spans="1:15" x14ac:dyDescent="0.2">
      <c r="A144" s="17">
        <v>2023</v>
      </c>
      <c r="B144" s="17" t="s">
        <v>0</v>
      </c>
      <c r="C144" s="17" t="s">
        <v>295</v>
      </c>
      <c r="D144" s="17" t="s">
        <v>697</v>
      </c>
      <c r="E144" s="17" t="s">
        <v>697</v>
      </c>
      <c r="F144" s="17" t="s">
        <v>295</v>
      </c>
      <c r="G144" s="17" t="s">
        <v>296</v>
      </c>
      <c r="H144" s="18">
        <f>ROUND(SUMPRODUCT(SUMIF(Final!$G$5:$G$331,CashReserveLevy!D144:F144,Final!$C$5:$C$331)),0)</f>
        <v>40189810</v>
      </c>
      <c r="I144" s="18">
        <f t="shared" si="11"/>
        <v>8037962</v>
      </c>
      <c r="J144" s="18">
        <f>ROUND(SUMPRODUCT(SUMIF(Final!$G$5:$G$331,CashReserveLevy!D144:F144,Final!$E$5:$E$331)),0)</f>
        <v>7437428</v>
      </c>
      <c r="K144" s="18">
        <f t="shared" si="12"/>
        <v>600534</v>
      </c>
      <c r="L144" s="18">
        <f>INDEX(ActualCRLevy_SAS!$A$2:$D$328,MATCH(CashReserveLevy!$C144,ActualCRLevy_SAS!$B$2:$B$328,0),4)</f>
        <v>600534</v>
      </c>
      <c r="M144" s="19" t="str">
        <f t="shared" si="13"/>
        <v>Max</v>
      </c>
      <c r="N144" s="1" t="str">
        <f t="shared" si="14"/>
        <v/>
      </c>
      <c r="O144" s="1" t="str">
        <f t="shared" si="15"/>
        <v/>
      </c>
    </row>
    <row r="145" spans="1:15" x14ac:dyDescent="0.2">
      <c r="A145" s="17">
        <v>2023</v>
      </c>
      <c r="B145" s="17" t="s">
        <v>0</v>
      </c>
      <c r="C145" s="17" t="s">
        <v>297</v>
      </c>
      <c r="D145" s="17" t="s">
        <v>697</v>
      </c>
      <c r="E145" s="17" t="s">
        <v>697</v>
      </c>
      <c r="F145" s="17" t="s">
        <v>297</v>
      </c>
      <c r="G145" s="17" t="s">
        <v>298</v>
      </c>
      <c r="H145" s="18">
        <f>ROUND(SUMPRODUCT(SUMIF(Final!$G$5:$G$331,CashReserveLevy!D145:F145,Final!$C$5:$C$331)),0)</f>
        <v>10854804</v>
      </c>
      <c r="I145" s="18">
        <f t="shared" si="11"/>
        <v>2170961</v>
      </c>
      <c r="J145" s="18">
        <f>ROUND(SUMPRODUCT(SUMIF(Final!$G$5:$G$331,CashReserveLevy!D145:F145,Final!$E$5:$E$331)),0)</f>
        <v>1799049</v>
      </c>
      <c r="K145" s="18">
        <f t="shared" si="12"/>
        <v>371912</v>
      </c>
      <c r="L145" s="18">
        <f>INDEX(ActualCRLevy_SAS!$A$2:$D$328,MATCH(CashReserveLevy!$C145,ActualCRLevy_SAS!$B$2:$B$328,0),4)</f>
        <v>371912</v>
      </c>
      <c r="M145" s="19" t="str">
        <f t="shared" si="13"/>
        <v>Max</v>
      </c>
      <c r="N145" s="1" t="str">
        <f t="shared" si="14"/>
        <v/>
      </c>
      <c r="O145" s="1" t="str">
        <f t="shared" si="15"/>
        <v/>
      </c>
    </row>
    <row r="146" spans="1:15" x14ac:dyDescent="0.2">
      <c r="A146" s="17">
        <v>2023</v>
      </c>
      <c r="B146" s="17" t="s">
        <v>20</v>
      </c>
      <c r="C146" s="17" t="s">
        <v>299</v>
      </c>
      <c r="D146" s="17" t="s">
        <v>697</v>
      </c>
      <c r="E146" s="17" t="s">
        <v>697</v>
      </c>
      <c r="F146" s="17" t="s">
        <v>299</v>
      </c>
      <c r="G146" s="17" t="s">
        <v>300</v>
      </c>
      <c r="H146" s="18">
        <f>ROUND(SUMPRODUCT(SUMIF(Final!$G$5:$G$331,CashReserveLevy!D146:F146,Final!$C$5:$C$331)),0)</f>
        <v>185798102</v>
      </c>
      <c r="I146" s="18">
        <f t="shared" si="11"/>
        <v>37159620</v>
      </c>
      <c r="J146" s="18">
        <f>ROUND(SUMPRODUCT(SUMIF(Final!$G$5:$G$331,CashReserveLevy!D146:F146,Final!$E$5:$E$331)),0)</f>
        <v>11645791</v>
      </c>
      <c r="K146" s="18">
        <f t="shared" si="12"/>
        <v>25513829</v>
      </c>
      <c r="L146" s="18">
        <f>INDEX(ActualCRLevy_SAS!$A$2:$D$328,MATCH(CashReserveLevy!$C146,ActualCRLevy_SAS!$B$2:$B$328,0),4)</f>
        <v>17500000</v>
      </c>
      <c r="M146" s="19" t="str">
        <f t="shared" si="13"/>
        <v/>
      </c>
      <c r="N146" s="1" t="str">
        <f t="shared" si="14"/>
        <v/>
      </c>
      <c r="O146" s="1" t="str">
        <f t="shared" si="15"/>
        <v/>
      </c>
    </row>
    <row r="147" spans="1:15" x14ac:dyDescent="0.2">
      <c r="A147" s="17">
        <v>2023</v>
      </c>
      <c r="B147" s="17" t="s">
        <v>5</v>
      </c>
      <c r="C147" s="17" t="s">
        <v>301</v>
      </c>
      <c r="D147" s="17" t="s">
        <v>697</v>
      </c>
      <c r="E147" s="17" t="s">
        <v>697</v>
      </c>
      <c r="F147" s="17" t="s">
        <v>301</v>
      </c>
      <c r="G147" s="17" t="s">
        <v>302</v>
      </c>
      <c r="H147" s="18">
        <f>ROUND(SUMPRODUCT(SUMIF(Final!$G$5:$G$331,CashReserveLevy!D147:F147,Final!$C$5:$C$331)),0)</f>
        <v>14491331</v>
      </c>
      <c r="I147" s="18">
        <f t="shared" si="11"/>
        <v>2898266</v>
      </c>
      <c r="J147" s="18">
        <f>ROUND(SUMPRODUCT(SUMIF(Final!$G$5:$G$331,CashReserveLevy!D147:F147,Final!$E$5:$E$331)),0)</f>
        <v>3103625</v>
      </c>
      <c r="K147" s="18">
        <f t="shared" si="12"/>
        <v>0</v>
      </c>
      <c r="L147" s="18">
        <f>INDEX(ActualCRLevy_SAS!$A$2:$D$328,MATCH(CashReserveLevy!$C147,ActualCRLevy_SAS!$B$2:$B$328,0),4)</f>
        <v>0</v>
      </c>
      <c r="M147" s="19" t="str">
        <f t="shared" si="13"/>
        <v/>
      </c>
      <c r="N147" s="1" t="str">
        <f t="shared" si="14"/>
        <v/>
      </c>
      <c r="O147" s="1" t="str">
        <f t="shared" si="15"/>
        <v/>
      </c>
    </row>
    <row r="148" spans="1:15" x14ac:dyDescent="0.2">
      <c r="A148" s="17">
        <v>2023</v>
      </c>
      <c r="B148" s="17" t="s">
        <v>20</v>
      </c>
      <c r="C148" s="17" t="s">
        <v>303</v>
      </c>
      <c r="D148" s="17" t="s">
        <v>697</v>
      </c>
      <c r="E148" s="17" t="s">
        <v>697</v>
      </c>
      <c r="F148" s="17" t="s">
        <v>303</v>
      </c>
      <c r="G148" s="17" t="s">
        <v>304</v>
      </c>
      <c r="H148" s="18">
        <f>ROUND(SUMPRODUCT(SUMIF(Final!$G$5:$G$331,CashReserveLevy!D148:F148,Final!$C$5:$C$331)),0)</f>
        <v>6552583</v>
      </c>
      <c r="I148" s="18">
        <f t="shared" si="11"/>
        <v>1310517</v>
      </c>
      <c r="J148" s="18">
        <f>ROUND(SUMPRODUCT(SUMIF(Final!$G$5:$G$331,CashReserveLevy!D148:F148,Final!$E$5:$E$331)),0)</f>
        <v>1658965</v>
      </c>
      <c r="K148" s="18">
        <f t="shared" si="12"/>
        <v>0</v>
      </c>
      <c r="L148" s="18">
        <f>INDEX(ActualCRLevy_SAS!$A$2:$D$328,MATCH(CashReserveLevy!$C148,ActualCRLevy_SAS!$B$2:$B$328,0),4)</f>
        <v>0</v>
      </c>
      <c r="M148" s="19" t="str">
        <f t="shared" si="13"/>
        <v/>
      </c>
      <c r="N148" s="1" t="str">
        <f t="shared" si="14"/>
        <v/>
      </c>
      <c r="O148" s="1" t="str">
        <f t="shared" si="15"/>
        <v/>
      </c>
    </row>
    <row r="149" spans="1:15" x14ac:dyDescent="0.2">
      <c r="A149" s="17">
        <v>2023</v>
      </c>
      <c r="B149" s="17" t="s">
        <v>5</v>
      </c>
      <c r="C149" s="17" t="s">
        <v>305</v>
      </c>
      <c r="D149" s="17" t="s">
        <v>697</v>
      </c>
      <c r="E149" s="17" t="s">
        <v>697</v>
      </c>
      <c r="F149" s="17" t="s">
        <v>305</v>
      </c>
      <c r="G149" s="17" t="s">
        <v>306</v>
      </c>
      <c r="H149" s="18">
        <f>ROUND(SUMPRODUCT(SUMIF(Final!$G$5:$G$331,CashReserveLevy!D149:F149,Final!$C$5:$C$331)),0)</f>
        <v>5214606</v>
      </c>
      <c r="I149" s="18">
        <f t="shared" si="11"/>
        <v>1042921</v>
      </c>
      <c r="J149" s="18">
        <f>ROUND(SUMPRODUCT(SUMIF(Final!$G$5:$G$331,CashReserveLevy!D149:F149,Final!$E$5:$E$331)),0)</f>
        <v>1115272</v>
      </c>
      <c r="K149" s="18">
        <f t="shared" si="12"/>
        <v>0</v>
      </c>
      <c r="L149" s="18">
        <f>INDEX(ActualCRLevy_SAS!$A$2:$D$328,MATCH(CashReserveLevy!$C149,ActualCRLevy_SAS!$B$2:$B$328,0),4)</f>
        <v>0</v>
      </c>
      <c r="M149" s="19" t="str">
        <f t="shared" si="13"/>
        <v/>
      </c>
      <c r="N149" s="1" t="str">
        <f t="shared" si="14"/>
        <v/>
      </c>
      <c r="O149" s="1" t="str">
        <f t="shared" si="15"/>
        <v/>
      </c>
    </row>
    <row r="150" spans="1:15" x14ac:dyDescent="0.2">
      <c r="A150" s="17">
        <v>2023</v>
      </c>
      <c r="B150" s="17" t="s">
        <v>5</v>
      </c>
      <c r="C150" s="17" t="s">
        <v>307</v>
      </c>
      <c r="D150" s="17" t="s">
        <v>697</v>
      </c>
      <c r="E150" s="17" t="s">
        <v>697</v>
      </c>
      <c r="F150" s="17" t="s">
        <v>307</v>
      </c>
      <c r="G150" s="17" t="s">
        <v>308</v>
      </c>
      <c r="H150" s="18">
        <f>ROUND(SUMPRODUCT(SUMIF(Final!$G$5:$G$331,CashReserveLevy!D150:F150,Final!$C$5:$C$331)),0)</f>
        <v>10898699</v>
      </c>
      <c r="I150" s="18">
        <f t="shared" si="11"/>
        <v>2179740</v>
      </c>
      <c r="J150" s="18">
        <f>ROUND(SUMPRODUCT(SUMIF(Final!$G$5:$G$331,CashReserveLevy!D150:F150,Final!$E$5:$E$331)),0)</f>
        <v>2261422</v>
      </c>
      <c r="K150" s="18">
        <f t="shared" si="12"/>
        <v>0</v>
      </c>
      <c r="L150" s="18">
        <f>INDEX(ActualCRLevy_SAS!$A$2:$D$328,MATCH(CashReserveLevy!$C150,ActualCRLevy_SAS!$B$2:$B$328,0),4)</f>
        <v>0</v>
      </c>
      <c r="M150" s="19" t="str">
        <f t="shared" si="13"/>
        <v/>
      </c>
      <c r="N150" s="1" t="str">
        <f t="shared" si="14"/>
        <v/>
      </c>
      <c r="O150" s="1" t="str">
        <f t="shared" si="15"/>
        <v/>
      </c>
    </row>
    <row r="151" spans="1:15" x14ac:dyDescent="0.2">
      <c r="A151" s="17">
        <v>2023</v>
      </c>
      <c r="B151" s="17" t="s">
        <v>0</v>
      </c>
      <c r="C151" s="17" t="s">
        <v>309</v>
      </c>
      <c r="D151" s="17" t="s">
        <v>697</v>
      </c>
      <c r="E151" s="17" t="s">
        <v>697</v>
      </c>
      <c r="F151" s="17" t="s">
        <v>309</v>
      </c>
      <c r="G151" s="17" t="s">
        <v>310</v>
      </c>
      <c r="H151" s="18">
        <f>ROUND(SUMPRODUCT(SUMIF(Final!$G$5:$G$331,CashReserveLevy!D151:F151,Final!$C$5:$C$331)),0)</f>
        <v>86582677</v>
      </c>
      <c r="I151" s="18">
        <f t="shared" si="11"/>
        <v>17316535</v>
      </c>
      <c r="J151" s="18">
        <f>ROUND(SUMPRODUCT(SUMIF(Final!$G$5:$G$331,CashReserveLevy!D151:F151,Final!$E$5:$E$331)),0)</f>
        <v>13781660</v>
      </c>
      <c r="K151" s="18">
        <f t="shared" si="12"/>
        <v>3534875</v>
      </c>
      <c r="L151" s="18">
        <f>INDEX(ActualCRLevy_SAS!$A$2:$D$328,MATCH(CashReserveLevy!$C151,ActualCRLevy_SAS!$B$2:$B$328,0),4)</f>
        <v>3534875</v>
      </c>
      <c r="M151" s="19" t="str">
        <f t="shared" si="13"/>
        <v>Max</v>
      </c>
      <c r="N151" s="1" t="str">
        <f t="shared" si="14"/>
        <v/>
      </c>
      <c r="O151" s="1" t="str">
        <f t="shared" si="15"/>
        <v/>
      </c>
    </row>
    <row r="152" spans="1:15" x14ac:dyDescent="0.2">
      <c r="A152" s="17">
        <v>2023</v>
      </c>
      <c r="B152" s="17" t="s">
        <v>17</v>
      </c>
      <c r="C152" s="17" t="s">
        <v>311</v>
      </c>
      <c r="D152" s="17" t="s">
        <v>697</v>
      </c>
      <c r="E152" s="17" t="s">
        <v>697</v>
      </c>
      <c r="F152" s="17" t="s">
        <v>311</v>
      </c>
      <c r="G152" s="17" t="s">
        <v>312</v>
      </c>
      <c r="H152" s="18">
        <f>ROUND(SUMPRODUCT(SUMIF(Final!$G$5:$G$331,CashReserveLevy!D152:F152,Final!$C$5:$C$331)),0)</f>
        <v>22812039</v>
      </c>
      <c r="I152" s="18">
        <f t="shared" si="11"/>
        <v>4562408</v>
      </c>
      <c r="J152" s="18">
        <f>ROUND(SUMPRODUCT(SUMIF(Final!$G$5:$G$331,CashReserveLevy!D152:F152,Final!$E$5:$E$331)),0)</f>
        <v>7296972</v>
      </c>
      <c r="K152" s="18">
        <f t="shared" si="12"/>
        <v>0</v>
      </c>
      <c r="L152" s="18">
        <f>INDEX(ActualCRLevy_SAS!$A$2:$D$328,MATCH(CashReserveLevy!$C152,ActualCRLevy_SAS!$B$2:$B$328,0),4)</f>
        <v>0</v>
      </c>
      <c r="M152" s="19" t="str">
        <f t="shared" si="13"/>
        <v/>
      </c>
      <c r="N152" s="1" t="str">
        <f t="shared" si="14"/>
        <v/>
      </c>
      <c r="O152" s="1" t="str">
        <f t="shared" si="15"/>
        <v/>
      </c>
    </row>
    <row r="153" spans="1:15" x14ac:dyDescent="0.2">
      <c r="A153" s="17">
        <v>2023</v>
      </c>
      <c r="B153" s="17" t="s">
        <v>17</v>
      </c>
      <c r="C153" s="17" t="s">
        <v>313</v>
      </c>
      <c r="D153" s="17" t="s">
        <v>697</v>
      </c>
      <c r="E153" s="17" t="s">
        <v>697</v>
      </c>
      <c r="F153" s="17" t="s">
        <v>313</v>
      </c>
      <c r="G153" s="17" t="s">
        <v>314</v>
      </c>
      <c r="H153" s="18">
        <f>ROUND(SUMPRODUCT(SUMIF(Final!$G$5:$G$331,CashReserveLevy!D153:F153,Final!$C$5:$C$331)),0)</f>
        <v>4410259</v>
      </c>
      <c r="I153" s="18">
        <f t="shared" si="11"/>
        <v>882052</v>
      </c>
      <c r="J153" s="18">
        <f>ROUND(SUMPRODUCT(SUMIF(Final!$G$5:$G$331,CashReserveLevy!D153:F153,Final!$E$5:$E$331)),0)</f>
        <v>337748</v>
      </c>
      <c r="K153" s="18">
        <f t="shared" si="12"/>
        <v>544304</v>
      </c>
      <c r="L153" s="18">
        <f>INDEX(ActualCRLevy_SAS!$A$2:$D$328,MATCH(CashReserveLevy!$C153,ActualCRLevy_SAS!$B$2:$B$328,0),4)</f>
        <v>387834</v>
      </c>
      <c r="M153" s="19" t="str">
        <f t="shared" si="13"/>
        <v/>
      </c>
      <c r="N153" s="1" t="str">
        <f t="shared" si="14"/>
        <v/>
      </c>
      <c r="O153" s="1" t="str">
        <f t="shared" si="15"/>
        <v/>
      </c>
    </row>
    <row r="154" spans="1:15" x14ac:dyDescent="0.2">
      <c r="A154" s="17">
        <v>2023</v>
      </c>
      <c r="B154" s="17" t="s">
        <v>11</v>
      </c>
      <c r="C154" s="17" t="s">
        <v>315</v>
      </c>
      <c r="D154" s="17" t="s">
        <v>697</v>
      </c>
      <c r="E154" s="17" t="s">
        <v>697</v>
      </c>
      <c r="F154" s="17" t="s">
        <v>315</v>
      </c>
      <c r="G154" s="17" t="s">
        <v>316</v>
      </c>
      <c r="H154" s="18">
        <f>ROUND(SUMPRODUCT(SUMIF(Final!$G$5:$G$331,CashReserveLevy!D154:F154,Final!$C$5:$C$331)),0)</f>
        <v>5641189</v>
      </c>
      <c r="I154" s="18">
        <f t="shared" si="11"/>
        <v>1128238</v>
      </c>
      <c r="J154" s="18">
        <f>ROUND(SUMPRODUCT(SUMIF(Final!$G$5:$G$331,CashReserveLevy!D154:F154,Final!$E$5:$E$331)),0)</f>
        <v>1462459</v>
      </c>
      <c r="K154" s="18">
        <f t="shared" si="12"/>
        <v>0</v>
      </c>
      <c r="L154" s="18">
        <f>INDEX(ActualCRLevy_SAS!$A$2:$D$328,MATCH(CashReserveLevy!$C154,ActualCRLevy_SAS!$B$2:$B$328,0),4)</f>
        <v>0</v>
      </c>
      <c r="M154" s="19" t="str">
        <f t="shared" si="13"/>
        <v/>
      </c>
      <c r="N154" s="1" t="str">
        <f t="shared" si="14"/>
        <v/>
      </c>
      <c r="O154" s="1" t="str">
        <f t="shared" si="15"/>
        <v/>
      </c>
    </row>
    <row r="155" spans="1:15" x14ac:dyDescent="0.2">
      <c r="A155" s="17">
        <v>2023</v>
      </c>
      <c r="B155" s="17" t="s">
        <v>0</v>
      </c>
      <c r="C155" s="17" t="s">
        <v>317</v>
      </c>
      <c r="D155" s="17" t="s">
        <v>697</v>
      </c>
      <c r="E155" s="17" t="s">
        <v>697</v>
      </c>
      <c r="F155" s="17" t="s">
        <v>317</v>
      </c>
      <c r="G155" s="17" t="s">
        <v>318</v>
      </c>
      <c r="H155" s="18">
        <f>ROUND(SUMPRODUCT(SUMIF(Final!$G$5:$G$331,CashReserveLevy!D155:F155,Final!$C$5:$C$331)),0)</f>
        <v>21852108</v>
      </c>
      <c r="I155" s="18">
        <f t="shared" si="11"/>
        <v>4370422</v>
      </c>
      <c r="J155" s="18">
        <f>ROUND(SUMPRODUCT(SUMIF(Final!$G$5:$G$331,CashReserveLevy!D155:F155,Final!$E$5:$E$331)),0)</f>
        <v>3341087</v>
      </c>
      <c r="K155" s="18">
        <f t="shared" si="12"/>
        <v>1029335</v>
      </c>
      <c r="L155" s="18">
        <f>INDEX(ActualCRLevy_SAS!$A$2:$D$328,MATCH(CashReserveLevy!$C155,ActualCRLevy_SAS!$B$2:$B$328,0),4)</f>
        <v>650858</v>
      </c>
      <c r="M155" s="19" t="str">
        <f t="shared" si="13"/>
        <v/>
      </c>
      <c r="N155" s="1" t="str">
        <f t="shared" si="14"/>
        <v/>
      </c>
      <c r="O155" s="1" t="str">
        <f t="shared" si="15"/>
        <v/>
      </c>
    </row>
    <row r="156" spans="1:15" x14ac:dyDescent="0.2">
      <c r="A156" s="17">
        <v>2023</v>
      </c>
      <c r="B156" s="17" t="s">
        <v>5</v>
      </c>
      <c r="C156" s="17" t="s">
        <v>319</v>
      </c>
      <c r="D156" s="17" t="s">
        <v>697</v>
      </c>
      <c r="E156" s="17" t="s">
        <v>697</v>
      </c>
      <c r="F156" s="17" t="s">
        <v>319</v>
      </c>
      <c r="G156" s="17" t="s">
        <v>320</v>
      </c>
      <c r="H156" s="18">
        <f>ROUND(SUMPRODUCT(SUMIF(Final!$G$5:$G$331,CashReserveLevy!D156:F156,Final!$C$5:$C$331)),0)</f>
        <v>7819102</v>
      </c>
      <c r="I156" s="18">
        <f t="shared" si="11"/>
        <v>1563820</v>
      </c>
      <c r="J156" s="18">
        <f>ROUND(SUMPRODUCT(SUMIF(Final!$G$5:$G$331,CashReserveLevy!D156:F156,Final!$E$5:$E$331)),0)</f>
        <v>2298508</v>
      </c>
      <c r="K156" s="18">
        <f t="shared" si="12"/>
        <v>0</v>
      </c>
      <c r="L156" s="18">
        <f>INDEX(ActualCRLevy_SAS!$A$2:$D$328,MATCH(CashReserveLevy!$C156,ActualCRLevy_SAS!$B$2:$B$328,0),4)</f>
        <v>0</v>
      </c>
      <c r="M156" s="19" t="str">
        <f t="shared" si="13"/>
        <v/>
      </c>
      <c r="N156" s="1" t="str">
        <f t="shared" si="14"/>
        <v/>
      </c>
      <c r="O156" s="1" t="str">
        <f t="shared" si="15"/>
        <v/>
      </c>
    </row>
    <row r="157" spans="1:15" x14ac:dyDescent="0.2">
      <c r="A157" s="17">
        <v>2023</v>
      </c>
      <c r="B157" s="17" t="s">
        <v>8</v>
      </c>
      <c r="C157" s="17" t="s">
        <v>321</v>
      </c>
      <c r="D157" s="17" t="s">
        <v>697</v>
      </c>
      <c r="E157" s="17" t="s">
        <v>697</v>
      </c>
      <c r="F157" s="17" t="s">
        <v>321</v>
      </c>
      <c r="G157" s="17" t="s">
        <v>322</v>
      </c>
      <c r="H157" s="18">
        <f>ROUND(SUMPRODUCT(SUMIF(Final!$G$5:$G$331,CashReserveLevy!D157:F157,Final!$C$5:$C$331)),0)</f>
        <v>4657781</v>
      </c>
      <c r="I157" s="18">
        <f t="shared" si="11"/>
        <v>931556</v>
      </c>
      <c r="J157" s="18">
        <f>ROUND(SUMPRODUCT(SUMIF(Final!$G$5:$G$331,CashReserveLevy!D157:F157,Final!$E$5:$E$331)),0)</f>
        <v>-470489</v>
      </c>
      <c r="K157" s="18">
        <f t="shared" si="12"/>
        <v>1402045</v>
      </c>
      <c r="L157" s="18">
        <f>INDEX(ActualCRLevy_SAS!$A$2:$D$328,MATCH(CashReserveLevy!$C157,ActualCRLevy_SAS!$B$2:$B$328,0),4)</f>
        <v>300000</v>
      </c>
      <c r="M157" s="19" t="str">
        <f t="shared" si="13"/>
        <v/>
      </c>
      <c r="N157" s="1" t="str">
        <f t="shared" si="14"/>
        <v/>
      </c>
      <c r="O157" s="1" t="str">
        <f t="shared" si="15"/>
        <v/>
      </c>
    </row>
    <row r="158" spans="1:15" x14ac:dyDescent="0.2">
      <c r="A158" s="17">
        <v>2023</v>
      </c>
      <c r="B158" s="17" t="s">
        <v>14</v>
      </c>
      <c r="C158" s="17" t="s">
        <v>323</v>
      </c>
      <c r="D158" s="17" t="s">
        <v>697</v>
      </c>
      <c r="E158" s="17" t="s">
        <v>697</v>
      </c>
      <c r="F158" s="17" t="s">
        <v>323</v>
      </c>
      <c r="G158" s="17" t="s">
        <v>324</v>
      </c>
      <c r="H158" s="18">
        <f>ROUND(SUMPRODUCT(SUMIF(Final!$G$5:$G$331,CashReserveLevy!D158:F158,Final!$C$5:$C$331)),0)</f>
        <v>3861115</v>
      </c>
      <c r="I158" s="18">
        <f t="shared" si="11"/>
        <v>772223</v>
      </c>
      <c r="J158" s="18">
        <f>ROUND(SUMPRODUCT(SUMIF(Final!$G$5:$G$331,CashReserveLevy!D158:F158,Final!$E$5:$E$331)),0)</f>
        <v>1397735</v>
      </c>
      <c r="K158" s="18">
        <f t="shared" si="12"/>
        <v>0</v>
      </c>
      <c r="L158" s="18">
        <f>INDEX(ActualCRLevy_SAS!$A$2:$D$328,MATCH(CashReserveLevy!$C158,ActualCRLevy_SAS!$B$2:$B$328,0),4)</f>
        <v>0</v>
      </c>
      <c r="M158" s="19" t="str">
        <f t="shared" si="13"/>
        <v/>
      </c>
      <c r="N158" s="1" t="str">
        <f t="shared" si="14"/>
        <v/>
      </c>
      <c r="O158" s="1" t="str">
        <f t="shared" si="15"/>
        <v/>
      </c>
    </row>
    <row r="159" spans="1:15" x14ac:dyDescent="0.2">
      <c r="A159" s="17">
        <v>2023</v>
      </c>
      <c r="B159" s="17" t="s">
        <v>11</v>
      </c>
      <c r="C159" s="17" t="s">
        <v>325</v>
      </c>
      <c r="D159" s="17" t="s">
        <v>697</v>
      </c>
      <c r="E159" s="17" t="s">
        <v>697</v>
      </c>
      <c r="F159" s="17" t="s">
        <v>325</v>
      </c>
      <c r="G159" s="17" t="s">
        <v>326</v>
      </c>
      <c r="H159" s="18">
        <f>ROUND(SUMPRODUCT(SUMIF(Final!$G$5:$G$331,CashReserveLevy!D159:F159,Final!$C$5:$C$331)),0)</f>
        <v>7513476</v>
      </c>
      <c r="I159" s="18">
        <f t="shared" si="11"/>
        <v>1502695</v>
      </c>
      <c r="J159" s="18">
        <f>ROUND(SUMPRODUCT(SUMIF(Final!$G$5:$G$331,CashReserveLevy!D159:F159,Final!$E$5:$E$331)),0)</f>
        <v>3377503</v>
      </c>
      <c r="K159" s="18">
        <f t="shared" si="12"/>
        <v>0</v>
      </c>
      <c r="L159" s="18">
        <f>INDEX(ActualCRLevy_SAS!$A$2:$D$328,MATCH(CashReserveLevy!$C159,ActualCRLevy_SAS!$B$2:$B$328,0),4)</f>
        <v>0</v>
      </c>
      <c r="M159" s="19" t="str">
        <f t="shared" si="13"/>
        <v/>
      </c>
      <c r="N159" s="1" t="str">
        <f t="shared" si="14"/>
        <v/>
      </c>
      <c r="O159" s="1" t="str">
        <f t="shared" si="15"/>
        <v/>
      </c>
    </row>
    <row r="160" spans="1:15" x14ac:dyDescent="0.2">
      <c r="A160" s="17">
        <v>2023</v>
      </c>
      <c r="B160" s="17" t="s">
        <v>11</v>
      </c>
      <c r="C160" s="17" t="s">
        <v>327</v>
      </c>
      <c r="D160" s="17" t="s">
        <v>697</v>
      </c>
      <c r="E160" s="17" t="s">
        <v>697</v>
      </c>
      <c r="F160" s="17" t="s">
        <v>327</v>
      </c>
      <c r="G160" s="17" t="s">
        <v>328</v>
      </c>
      <c r="H160" s="18">
        <f>ROUND(SUMPRODUCT(SUMIF(Final!$G$5:$G$331,CashReserveLevy!D160:F160,Final!$C$5:$C$331)),0)</f>
        <v>24996781</v>
      </c>
      <c r="I160" s="18">
        <f t="shared" si="11"/>
        <v>4999356</v>
      </c>
      <c r="J160" s="18">
        <f>ROUND(SUMPRODUCT(SUMIF(Final!$G$5:$G$331,CashReserveLevy!D160:F160,Final!$E$5:$E$331)),0)</f>
        <v>6968209</v>
      </c>
      <c r="K160" s="18">
        <f t="shared" si="12"/>
        <v>0</v>
      </c>
      <c r="L160" s="18">
        <f>INDEX(ActualCRLevy_SAS!$A$2:$D$328,MATCH(CashReserveLevy!$C160,ActualCRLevy_SAS!$B$2:$B$328,0),4)</f>
        <v>0</v>
      </c>
      <c r="M160" s="19" t="str">
        <f t="shared" si="13"/>
        <v/>
      </c>
      <c r="N160" s="1" t="str">
        <f t="shared" si="14"/>
        <v/>
      </c>
      <c r="O160" s="1" t="str">
        <f t="shared" si="15"/>
        <v/>
      </c>
    </row>
    <row r="161" spans="1:15" x14ac:dyDescent="0.2">
      <c r="A161" s="17">
        <v>2023</v>
      </c>
      <c r="B161" s="17" t="s">
        <v>8</v>
      </c>
      <c r="C161" s="17" t="s">
        <v>329</v>
      </c>
      <c r="D161" s="17" t="s">
        <v>697</v>
      </c>
      <c r="E161" s="17" t="s">
        <v>697</v>
      </c>
      <c r="F161" s="17" t="s">
        <v>329</v>
      </c>
      <c r="G161" s="17" t="s">
        <v>330</v>
      </c>
      <c r="H161" s="18">
        <f>ROUND(SUMPRODUCT(SUMIF(Final!$G$5:$G$331,CashReserveLevy!D161:F161,Final!$C$5:$C$331)),0)</f>
        <v>5941539</v>
      </c>
      <c r="I161" s="18">
        <f t="shared" si="11"/>
        <v>1188308</v>
      </c>
      <c r="J161" s="18">
        <f>ROUND(SUMPRODUCT(SUMIF(Final!$G$5:$G$331,CashReserveLevy!D161:F161,Final!$E$5:$E$331)),0)</f>
        <v>2223329</v>
      </c>
      <c r="K161" s="18">
        <f t="shared" si="12"/>
        <v>0</v>
      </c>
      <c r="L161" s="18">
        <f>INDEX(ActualCRLevy_SAS!$A$2:$D$328,MATCH(CashReserveLevy!$C161,ActualCRLevy_SAS!$B$2:$B$328,0),4)</f>
        <v>0</v>
      </c>
      <c r="M161" s="19" t="str">
        <f t="shared" si="13"/>
        <v/>
      </c>
      <c r="N161" s="1" t="str">
        <f t="shared" si="14"/>
        <v/>
      </c>
      <c r="O161" s="1" t="str">
        <f t="shared" si="15"/>
        <v/>
      </c>
    </row>
    <row r="162" spans="1:15" x14ac:dyDescent="0.2">
      <c r="A162" s="17">
        <v>2023</v>
      </c>
      <c r="B162" s="17" t="s">
        <v>8</v>
      </c>
      <c r="C162" s="17" t="s">
        <v>331</v>
      </c>
      <c r="D162" s="17" t="s">
        <v>697</v>
      </c>
      <c r="E162" s="17" t="s">
        <v>697</v>
      </c>
      <c r="F162" s="17" t="s">
        <v>331</v>
      </c>
      <c r="G162" s="17" t="s">
        <v>332</v>
      </c>
      <c r="H162" s="18">
        <f>ROUND(SUMPRODUCT(SUMIF(Final!$G$5:$G$331,CashReserveLevy!D162:F162,Final!$C$5:$C$331)),0)</f>
        <v>35947008</v>
      </c>
      <c r="I162" s="18">
        <f t="shared" si="11"/>
        <v>7189402</v>
      </c>
      <c r="J162" s="18">
        <f>ROUND(SUMPRODUCT(SUMIF(Final!$G$5:$G$331,CashReserveLevy!D162:F162,Final!$E$5:$E$331)),0)</f>
        <v>9233301</v>
      </c>
      <c r="K162" s="18">
        <f t="shared" si="12"/>
        <v>0</v>
      </c>
      <c r="L162" s="18">
        <f>INDEX(ActualCRLevy_SAS!$A$2:$D$328,MATCH(CashReserveLevy!$C162,ActualCRLevy_SAS!$B$2:$B$328,0),4)</f>
        <v>0</v>
      </c>
      <c r="M162" s="19" t="str">
        <f t="shared" si="13"/>
        <v/>
      </c>
      <c r="N162" s="1" t="str">
        <f t="shared" si="14"/>
        <v/>
      </c>
      <c r="O162" s="1" t="str">
        <f t="shared" si="15"/>
        <v/>
      </c>
    </row>
    <row r="163" spans="1:15" x14ac:dyDescent="0.2">
      <c r="A163" s="17">
        <v>2023</v>
      </c>
      <c r="B163" s="17" t="s">
        <v>20</v>
      </c>
      <c r="C163" s="17" t="s">
        <v>333</v>
      </c>
      <c r="D163" s="17" t="s">
        <v>697</v>
      </c>
      <c r="E163" s="17" t="s">
        <v>697</v>
      </c>
      <c r="F163" s="17" t="s">
        <v>333</v>
      </c>
      <c r="G163" s="17" t="s">
        <v>334</v>
      </c>
      <c r="H163" s="18">
        <f>ROUND(SUMPRODUCT(SUMIF(Final!$G$5:$G$331,CashReserveLevy!D163:F163,Final!$C$5:$C$331)),0)</f>
        <v>93852703</v>
      </c>
      <c r="I163" s="18">
        <f t="shared" si="11"/>
        <v>18770541</v>
      </c>
      <c r="J163" s="18">
        <f>ROUND(SUMPRODUCT(SUMIF(Final!$G$5:$G$331,CashReserveLevy!D163:F163,Final!$E$5:$E$331)),0)</f>
        <v>13220229</v>
      </c>
      <c r="K163" s="18">
        <f t="shared" si="12"/>
        <v>5550312</v>
      </c>
      <c r="L163" s="18">
        <f>INDEX(ActualCRLevy_SAS!$A$2:$D$328,MATCH(CashReserveLevy!$C163,ActualCRLevy_SAS!$B$2:$B$328,0),4)</f>
        <v>5550312</v>
      </c>
      <c r="M163" s="19" t="str">
        <f t="shared" si="13"/>
        <v>Max</v>
      </c>
      <c r="N163" s="1" t="str">
        <f t="shared" si="14"/>
        <v/>
      </c>
      <c r="O163" s="1" t="str">
        <f t="shared" si="15"/>
        <v/>
      </c>
    </row>
    <row r="164" spans="1:15" x14ac:dyDescent="0.2">
      <c r="A164" s="17">
        <v>2023</v>
      </c>
      <c r="B164" s="17" t="s">
        <v>20</v>
      </c>
      <c r="C164" s="17" t="s">
        <v>335</v>
      </c>
      <c r="D164" s="17" t="s">
        <v>697</v>
      </c>
      <c r="E164" s="17" t="s">
        <v>697</v>
      </c>
      <c r="F164" s="17" t="s">
        <v>335</v>
      </c>
      <c r="G164" s="17" t="s">
        <v>336</v>
      </c>
      <c r="H164" s="18">
        <f>ROUND(SUMPRODUCT(SUMIF(Final!$G$5:$G$331,CashReserveLevy!D164:F164,Final!$C$5:$C$331)),0)</f>
        <v>8174041</v>
      </c>
      <c r="I164" s="18">
        <f t="shared" si="11"/>
        <v>1634808</v>
      </c>
      <c r="J164" s="18">
        <f>ROUND(SUMPRODUCT(SUMIF(Final!$G$5:$G$331,CashReserveLevy!D164:F164,Final!$E$5:$E$331)),0)</f>
        <v>1707318</v>
      </c>
      <c r="K164" s="18">
        <f t="shared" si="12"/>
        <v>0</v>
      </c>
      <c r="L164" s="18">
        <f>INDEX(ActualCRLevy_SAS!$A$2:$D$328,MATCH(CashReserveLevy!$C164,ActualCRLevy_SAS!$B$2:$B$328,0),4)</f>
        <v>0</v>
      </c>
      <c r="M164" s="19" t="str">
        <f t="shared" si="13"/>
        <v/>
      </c>
      <c r="N164" s="1" t="str">
        <f t="shared" si="14"/>
        <v/>
      </c>
      <c r="O164" s="1" t="str">
        <f t="shared" si="15"/>
        <v/>
      </c>
    </row>
    <row r="165" spans="1:15" x14ac:dyDescent="0.2">
      <c r="A165" s="17">
        <v>2023</v>
      </c>
      <c r="B165" s="17" t="s">
        <v>8</v>
      </c>
      <c r="C165" s="17" t="s">
        <v>337</v>
      </c>
      <c r="D165" s="17" t="s">
        <v>697</v>
      </c>
      <c r="E165" s="17" t="s">
        <v>697</v>
      </c>
      <c r="F165" s="17" t="s">
        <v>337</v>
      </c>
      <c r="G165" s="17" t="s">
        <v>338</v>
      </c>
      <c r="H165" s="18">
        <f>ROUND(SUMPRODUCT(SUMIF(Final!$G$5:$G$331,CashReserveLevy!D165:F165,Final!$C$5:$C$331)),0)</f>
        <v>7468773</v>
      </c>
      <c r="I165" s="18">
        <f t="shared" si="11"/>
        <v>1493755</v>
      </c>
      <c r="J165" s="18">
        <f>ROUND(SUMPRODUCT(SUMIF(Final!$G$5:$G$331,CashReserveLevy!D165:F165,Final!$E$5:$E$331)),0)</f>
        <v>1438071</v>
      </c>
      <c r="K165" s="18">
        <f t="shared" si="12"/>
        <v>55684</v>
      </c>
      <c r="L165" s="18">
        <f>INDEX(ActualCRLevy_SAS!$A$2:$D$328,MATCH(CashReserveLevy!$C165,ActualCRLevy_SAS!$B$2:$B$328,0),4)</f>
        <v>55684</v>
      </c>
      <c r="M165" s="19" t="str">
        <f t="shared" si="13"/>
        <v>Max</v>
      </c>
      <c r="N165" s="1" t="str">
        <f t="shared" si="14"/>
        <v/>
      </c>
      <c r="O165" s="1" t="str">
        <f t="shared" si="15"/>
        <v/>
      </c>
    </row>
    <row r="166" spans="1:15" x14ac:dyDescent="0.2">
      <c r="A166" s="17">
        <v>2023</v>
      </c>
      <c r="B166" s="17" t="s">
        <v>20</v>
      </c>
      <c r="C166" s="17" t="s">
        <v>339</v>
      </c>
      <c r="D166" s="17" t="s">
        <v>697</v>
      </c>
      <c r="E166" s="17" t="s">
        <v>697</v>
      </c>
      <c r="F166" s="17" t="s">
        <v>339</v>
      </c>
      <c r="G166" s="17" t="s">
        <v>340</v>
      </c>
      <c r="H166" s="18">
        <f>ROUND(SUMPRODUCT(SUMIF(Final!$G$5:$G$331,CashReserveLevy!D166:F166,Final!$C$5:$C$331)),0)</f>
        <v>4956448</v>
      </c>
      <c r="I166" s="18">
        <f t="shared" si="11"/>
        <v>991290</v>
      </c>
      <c r="J166" s="18">
        <f>ROUND(SUMPRODUCT(SUMIF(Final!$G$5:$G$331,CashReserveLevy!D166:F166,Final!$E$5:$E$331)),0)</f>
        <v>1262521</v>
      </c>
      <c r="K166" s="18">
        <f t="shared" si="12"/>
        <v>0</v>
      </c>
      <c r="L166" s="18">
        <f>INDEX(ActualCRLevy_SAS!$A$2:$D$328,MATCH(CashReserveLevy!$C166,ActualCRLevy_SAS!$B$2:$B$328,0),4)</f>
        <v>0</v>
      </c>
      <c r="M166" s="19" t="str">
        <f t="shared" si="13"/>
        <v/>
      </c>
      <c r="N166" s="1" t="str">
        <f t="shared" si="14"/>
        <v/>
      </c>
      <c r="O166" s="1" t="str">
        <f t="shared" si="15"/>
        <v/>
      </c>
    </row>
    <row r="167" spans="1:15" x14ac:dyDescent="0.2">
      <c r="A167" s="17">
        <v>2023</v>
      </c>
      <c r="B167" s="17" t="s">
        <v>37</v>
      </c>
      <c r="C167" s="17" t="s">
        <v>341</v>
      </c>
      <c r="D167" s="17" t="s">
        <v>697</v>
      </c>
      <c r="E167" s="17" t="s">
        <v>697</v>
      </c>
      <c r="F167" s="17" t="s">
        <v>341</v>
      </c>
      <c r="G167" s="17" t="s">
        <v>342</v>
      </c>
      <c r="H167" s="18">
        <f>ROUND(SUMPRODUCT(SUMIF(Final!$G$5:$G$331,CashReserveLevy!D167:F167,Final!$C$5:$C$331)),0)</f>
        <v>10185357</v>
      </c>
      <c r="I167" s="18">
        <f t="shared" si="11"/>
        <v>2037071</v>
      </c>
      <c r="J167" s="18">
        <f>ROUND(SUMPRODUCT(SUMIF(Final!$G$5:$G$331,CashReserveLevy!D167:F167,Final!$E$5:$E$331)),0)</f>
        <v>1813035</v>
      </c>
      <c r="K167" s="18">
        <f t="shared" si="12"/>
        <v>224036</v>
      </c>
      <c r="L167" s="18">
        <f>INDEX(ActualCRLevy_SAS!$A$2:$D$328,MATCH(CashReserveLevy!$C167,ActualCRLevy_SAS!$B$2:$B$328,0),4)</f>
        <v>224036</v>
      </c>
      <c r="M167" s="19" t="str">
        <f t="shared" si="13"/>
        <v>Max</v>
      </c>
      <c r="N167" s="1" t="str">
        <f t="shared" si="14"/>
        <v/>
      </c>
      <c r="O167" s="1" t="str">
        <f t="shared" si="15"/>
        <v/>
      </c>
    </row>
    <row r="168" spans="1:15" x14ac:dyDescent="0.2">
      <c r="A168" s="17">
        <v>2023</v>
      </c>
      <c r="B168" s="17" t="s">
        <v>14</v>
      </c>
      <c r="C168" s="17" t="s">
        <v>343</v>
      </c>
      <c r="D168" s="17" t="s">
        <v>697</v>
      </c>
      <c r="E168" s="17" t="s">
        <v>697</v>
      </c>
      <c r="F168" s="17" t="s">
        <v>343</v>
      </c>
      <c r="G168" s="17" t="s">
        <v>344</v>
      </c>
      <c r="H168" s="18">
        <f>ROUND(SUMPRODUCT(SUMIF(Final!$G$5:$G$331,CashReserveLevy!D168:F168,Final!$C$5:$C$331)),0)</f>
        <v>2536426</v>
      </c>
      <c r="I168" s="18">
        <f t="shared" si="11"/>
        <v>507285</v>
      </c>
      <c r="J168" s="18">
        <f>ROUND(SUMPRODUCT(SUMIF(Final!$G$5:$G$331,CashReserveLevy!D168:F168,Final!$E$5:$E$331)),0)</f>
        <v>755781</v>
      </c>
      <c r="K168" s="18">
        <f t="shared" si="12"/>
        <v>0</v>
      </c>
      <c r="L168" s="18">
        <f>INDEX(ActualCRLevy_SAS!$A$2:$D$328,MATCH(CashReserveLevy!$C168,ActualCRLevy_SAS!$B$2:$B$328,0),4)</f>
        <v>0</v>
      </c>
      <c r="M168" s="19" t="str">
        <f t="shared" si="13"/>
        <v/>
      </c>
      <c r="N168" s="1" t="str">
        <f t="shared" si="14"/>
        <v/>
      </c>
      <c r="O168" s="1" t="str">
        <f t="shared" si="15"/>
        <v/>
      </c>
    </row>
    <row r="169" spans="1:15" x14ac:dyDescent="0.2">
      <c r="A169" s="17">
        <v>2023</v>
      </c>
      <c r="B169" s="17" t="s">
        <v>0</v>
      </c>
      <c r="C169" s="17" t="s">
        <v>345</v>
      </c>
      <c r="D169" s="17" t="s">
        <v>697</v>
      </c>
      <c r="E169" s="17" t="s">
        <v>697</v>
      </c>
      <c r="F169" s="17" t="s">
        <v>345</v>
      </c>
      <c r="G169" s="17" t="s">
        <v>346</v>
      </c>
      <c r="H169" s="18">
        <f>ROUND(SUMPRODUCT(SUMIF(Final!$G$5:$G$331,CashReserveLevy!D169:F169,Final!$C$5:$C$331)),0)</f>
        <v>6080590</v>
      </c>
      <c r="I169" s="18">
        <f t="shared" si="11"/>
        <v>1216118</v>
      </c>
      <c r="J169" s="18">
        <f>ROUND(SUMPRODUCT(SUMIF(Final!$G$5:$G$331,CashReserveLevy!D169:F169,Final!$E$5:$E$331)),0)</f>
        <v>1437101</v>
      </c>
      <c r="K169" s="18">
        <f t="shared" si="12"/>
        <v>0</v>
      </c>
      <c r="L169" s="18">
        <f>INDEX(ActualCRLevy_SAS!$A$2:$D$328,MATCH(CashReserveLevy!$C169,ActualCRLevy_SAS!$B$2:$B$328,0),4)</f>
        <v>0</v>
      </c>
      <c r="M169" s="19" t="str">
        <f t="shared" si="13"/>
        <v/>
      </c>
      <c r="N169" s="1" t="str">
        <f t="shared" si="14"/>
        <v/>
      </c>
      <c r="O169" s="1" t="str">
        <f t="shared" si="15"/>
        <v/>
      </c>
    </row>
    <row r="170" spans="1:15" x14ac:dyDescent="0.2">
      <c r="A170" s="17">
        <v>2023</v>
      </c>
      <c r="B170" s="17" t="s">
        <v>0</v>
      </c>
      <c r="C170" s="17" t="s">
        <v>347</v>
      </c>
      <c r="D170" s="17" t="s">
        <v>697</v>
      </c>
      <c r="E170" s="17" t="s">
        <v>697</v>
      </c>
      <c r="F170" s="17" t="s">
        <v>347</v>
      </c>
      <c r="G170" s="17" t="s">
        <v>348</v>
      </c>
      <c r="H170" s="18">
        <f>ROUND(SUMPRODUCT(SUMIF(Final!$G$5:$G$331,CashReserveLevy!D170:F170,Final!$C$5:$C$331)),0)</f>
        <v>8110079</v>
      </c>
      <c r="I170" s="18">
        <f t="shared" si="11"/>
        <v>1622016</v>
      </c>
      <c r="J170" s="18">
        <f>ROUND(SUMPRODUCT(SUMIF(Final!$G$5:$G$331,CashReserveLevy!D170:F170,Final!$E$5:$E$331)),0)</f>
        <v>1638167</v>
      </c>
      <c r="K170" s="18">
        <f t="shared" si="12"/>
        <v>0</v>
      </c>
      <c r="L170" s="18">
        <f>INDEX(ActualCRLevy_SAS!$A$2:$D$328,MATCH(CashReserveLevy!$C170,ActualCRLevy_SAS!$B$2:$B$328,0),4)</f>
        <v>0</v>
      </c>
      <c r="M170" s="19" t="str">
        <f t="shared" si="13"/>
        <v/>
      </c>
      <c r="N170" s="1" t="str">
        <f t="shared" si="14"/>
        <v/>
      </c>
      <c r="O170" s="1" t="str">
        <f t="shared" si="15"/>
        <v/>
      </c>
    </row>
    <row r="171" spans="1:15" x14ac:dyDescent="0.2">
      <c r="A171" s="17">
        <v>2023</v>
      </c>
      <c r="B171" s="17" t="s">
        <v>14</v>
      </c>
      <c r="C171" s="17" t="s">
        <v>349</v>
      </c>
      <c r="D171" s="17" t="s">
        <v>697</v>
      </c>
      <c r="E171" s="17" t="s">
        <v>697</v>
      </c>
      <c r="F171" s="17" t="s">
        <v>349</v>
      </c>
      <c r="G171" s="17" t="s">
        <v>350</v>
      </c>
      <c r="H171" s="18">
        <f>ROUND(SUMPRODUCT(SUMIF(Final!$G$5:$G$331,CashReserveLevy!D171:F171,Final!$C$5:$C$331)),0)</f>
        <v>8749057</v>
      </c>
      <c r="I171" s="18">
        <f t="shared" si="11"/>
        <v>1749811</v>
      </c>
      <c r="J171" s="18">
        <f>ROUND(SUMPRODUCT(SUMIF(Final!$G$5:$G$331,CashReserveLevy!D171:F171,Final!$E$5:$E$331)),0)</f>
        <v>2998722</v>
      </c>
      <c r="K171" s="18">
        <f t="shared" si="12"/>
        <v>0</v>
      </c>
      <c r="L171" s="18">
        <f>INDEX(ActualCRLevy_SAS!$A$2:$D$328,MATCH(CashReserveLevy!$C171,ActualCRLevy_SAS!$B$2:$B$328,0),4)</f>
        <v>0</v>
      </c>
      <c r="M171" s="19" t="str">
        <f t="shared" si="13"/>
        <v/>
      </c>
      <c r="N171" s="1" t="str">
        <f t="shared" si="14"/>
        <v/>
      </c>
      <c r="O171" s="1" t="str">
        <f t="shared" si="15"/>
        <v/>
      </c>
    </row>
    <row r="172" spans="1:15" x14ac:dyDescent="0.2">
      <c r="A172" s="17">
        <v>2023</v>
      </c>
      <c r="B172" s="17" t="s">
        <v>11</v>
      </c>
      <c r="C172" s="17" t="s">
        <v>351</v>
      </c>
      <c r="D172" s="17" t="s">
        <v>697</v>
      </c>
      <c r="E172" s="17" t="s">
        <v>697</v>
      </c>
      <c r="F172" s="17" t="s">
        <v>351</v>
      </c>
      <c r="G172" s="17" t="s">
        <v>352</v>
      </c>
      <c r="H172" s="18">
        <f>ROUND(SUMPRODUCT(SUMIF(Final!$G$5:$G$331,CashReserveLevy!D172:F172,Final!$C$5:$C$331)),0)</f>
        <v>9075027</v>
      </c>
      <c r="I172" s="18">
        <f t="shared" si="11"/>
        <v>1815005</v>
      </c>
      <c r="J172" s="18">
        <f>ROUND(SUMPRODUCT(SUMIF(Final!$G$5:$G$331,CashReserveLevy!D172:F172,Final!$E$5:$E$331)),0)</f>
        <v>2303521</v>
      </c>
      <c r="K172" s="18">
        <f t="shared" si="12"/>
        <v>0</v>
      </c>
      <c r="L172" s="18">
        <f>INDEX(ActualCRLevy_SAS!$A$2:$D$328,MATCH(CashReserveLevy!$C172,ActualCRLevy_SAS!$B$2:$B$328,0),4)</f>
        <v>0</v>
      </c>
      <c r="M172" s="19" t="str">
        <f t="shared" si="13"/>
        <v/>
      </c>
      <c r="N172" s="1" t="str">
        <f t="shared" si="14"/>
        <v/>
      </c>
      <c r="O172" s="1" t="str">
        <f t="shared" si="15"/>
        <v/>
      </c>
    </row>
    <row r="173" spans="1:15" x14ac:dyDescent="0.2">
      <c r="A173" s="17">
        <v>2023</v>
      </c>
      <c r="B173" s="17" t="s">
        <v>37</v>
      </c>
      <c r="C173" s="17" t="s">
        <v>353</v>
      </c>
      <c r="D173" s="17" t="s">
        <v>697</v>
      </c>
      <c r="E173" s="17" t="s">
        <v>697</v>
      </c>
      <c r="F173" s="17" t="s">
        <v>353</v>
      </c>
      <c r="G173" s="17" t="s">
        <v>354</v>
      </c>
      <c r="H173" s="18">
        <f>ROUND(SUMPRODUCT(SUMIF(Final!$G$5:$G$331,CashReserveLevy!D173:F173,Final!$C$5:$C$331)),0)</f>
        <v>18846088</v>
      </c>
      <c r="I173" s="18">
        <f t="shared" si="11"/>
        <v>3769218</v>
      </c>
      <c r="J173" s="18">
        <f>ROUND(SUMPRODUCT(SUMIF(Final!$G$5:$G$331,CashReserveLevy!D173:F173,Final!$E$5:$E$331)),0)</f>
        <v>3090461</v>
      </c>
      <c r="K173" s="18">
        <f t="shared" si="12"/>
        <v>678757</v>
      </c>
      <c r="L173" s="18">
        <f>INDEX(ActualCRLevy_SAS!$A$2:$D$328,MATCH(CashReserveLevy!$C173,ActualCRLevy_SAS!$B$2:$B$328,0),4)</f>
        <v>678757</v>
      </c>
      <c r="M173" s="19" t="str">
        <f t="shared" si="13"/>
        <v>Max</v>
      </c>
      <c r="N173" s="1" t="str">
        <f t="shared" si="14"/>
        <v/>
      </c>
      <c r="O173" s="1" t="str">
        <f t="shared" si="15"/>
        <v/>
      </c>
    </row>
    <row r="174" spans="1:15" x14ac:dyDescent="0.2">
      <c r="A174" s="17">
        <v>2023</v>
      </c>
      <c r="B174" s="17" t="s">
        <v>28</v>
      </c>
      <c r="C174" s="17" t="s">
        <v>355</v>
      </c>
      <c r="D174" s="17" t="s">
        <v>697</v>
      </c>
      <c r="E174" s="17" t="s">
        <v>697</v>
      </c>
      <c r="F174" s="17" t="s">
        <v>355</v>
      </c>
      <c r="G174" s="17" t="s">
        <v>356</v>
      </c>
      <c r="H174" s="18">
        <f>ROUND(SUMPRODUCT(SUMIF(Final!$G$5:$G$331,CashReserveLevy!D174:F174,Final!$C$5:$C$331)),0)</f>
        <v>8197101</v>
      </c>
      <c r="I174" s="18">
        <f t="shared" si="11"/>
        <v>1639420</v>
      </c>
      <c r="J174" s="18">
        <f>ROUND(SUMPRODUCT(SUMIF(Final!$G$5:$G$331,CashReserveLevy!D174:F174,Final!$E$5:$E$331)),0)</f>
        <v>3274433</v>
      </c>
      <c r="K174" s="18">
        <f t="shared" si="12"/>
        <v>0</v>
      </c>
      <c r="L174" s="18">
        <f>INDEX(ActualCRLevy_SAS!$A$2:$D$328,MATCH(CashReserveLevy!$C174,ActualCRLevy_SAS!$B$2:$B$328,0),4)</f>
        <v>0</v>
      </c>
      <c r="M174" s="19" t="str">
        <f t="shared" si="13"/>
        <v/>
      </c>
      <c r="N174" s="1" t="str">
        <f t="shared" si="14"/>
        <v/>
      </c>
      <c r="O174" s="1" t="str">
        <f t="shared" si="15"/>
        <v/>
      </c>
    </row>
    <row r="175" spans="1:15" x14ac:dyDescent="0.2">
      <c r="A175" s="17">
        <v>2023</v>
      </c>
      <c r="B175" s="17" t="s">
        <v>11</v>
      </c>
      <c r="C175" s="17" t="s">
        <v>357</v>
      </c>
      <c r="D175" s="17" t="s">
        <v>697</v>
      </c>
      <c r="E175" s="17" t="s">
        <v>697</v>
      </c>
      <c r="F175" s="17" t="s">
        <v>357</v>
      </c>
      <c r="G175" s="17" t="s">
        <v>358</v>
      </c>
      <c r="H175" s="18">
        <f>ROUND(SUMPRODUCT(SUMIF(Final!$G$5:$G$331,CashReserveLevy!D175:F175,Final!$C$5:$C$331)),0)</f>
        <v>6195949</v>
      </c>
      <c r="I175" s="18">
        <f t="shared" si="11"/>
        <v>1239190</v>
      </c>
      <c r="J175" s="18">
        <f>ROUND(SUMPRODUCT(SUMIF(Final!$G$5:$G$331,CashReserveLevy!D175:F175,Final!$E$5:$E$331)),0)</f>
        <v>948505</v>
      </c>
      <c r="K175" s="18">
        <f t="shared" si="12"/>
        <v>290685</v>
      </c>
      <c r="L175" s="18">
        <f>INDEX(ActualCRLevy_SAS!$A$2:$D$328,MATCH(CashReserveLevy!$C175,ActualCRLevy_SAS!$B$2:$B$328,0),4)</f>
        <v>259864</v>
      </c>
      <c r="M175" s="19" t="str">
        <f t="shared" si="13"/>
        <v/>
      </c>
      <c r="N175" s="1" t="str">
        <f t="shared" si="14"/>
        <v/>
      </c>
      <c r="O175" s="1" t="str">
        <f t="shared" si="15"/>
        <v/>
      </c>
    </row>
    <row r="176" spans="1:15" x14ac:dyDescent="0.2">
      <c r="A176" s="17">
        <v>2023</v>
      </c>
      <c r="B176" s="17" t="s">
        <v>20</v>
      </c>
      <c r="C176" s="17" t="s">
        <v>359</v>
      </c>
      <c r="D176" s="17" t="s">
        <v>697</v>
      </c>
      <c r="E176" s="17" t="s">
        <v>697</v>
      </c>
      <c r="F176" s="17" t="s">
        <v>359</v>
      </c>
      <c r="G176" s="17" t="s">
        <v>360</v>
      </c>
      <c r="H176" s="18">
        <f>ROUND(SUMPRODUCT(SUMIF(Final!$G$5:$G$331,CashReserveLevy!D176:F176,Final!$C$5:$C$331)),0)</f>
        <v>28642502</v>
      </c>
      <c r="I176" s="18">
        <f t="shared" si="11"/>
        <v>5728500</v>
      </c>
      <c r="J176" s="18">
        <f>ROUND(SUMPRODUCT(SUMIF(Final!$G$5:$G$331,CashReserveLevy!D176:F176,Final!$E$5:$E$331)),0)</f>
        <v>6393210</v>
      </c>
      <c r="K176" s="18">
        <f t="shared" si="12"/>
        <v>0</v>
      </c>
      <c r="L176" s="18">
        <f>INDEX(ActualCRLevy_SAS!$A$2:$D$328,MATCH(CashReserveLevy!$C176,ActualCRLevy_SAS!$B$2:$B$328,0),4)</f>
        <v>0</v>
      </c>
      <c r="M176" s="19" t="str">
        <f t="shared" si="13"/>
        <v/>
      </c>
      <c r="N176" s="1" t="str">
        <f t="shared" si="14"/>
        <v/>
      </c>
      <c r="O176" s="1" t="str">
        <f t="shared" si="15"/>
        <v/>
      </c>
    </row>
    <row r="177" spans="1:15" x14ac:dyDescent="0.2">
      <c r="A177" s="17">
        <v>2023</v>
      </c>
      <c r="B177" s="17" t="s">
        <v>5</v>
      </c>
      <c r="C177" s="17" t="s">
        <v>361</v>
      </c>
      <c r="D177" s="17" t="s">
        <v>697</v>
      </c>
      <c r="E177" s="17" t="s">
        <v>697</v>
      </c>
      <c r="F177" s="17" t="s">
        <v>361</v>
      </c>
      <c r="G177" s="17" t="s">
        <v>362</v>
      </c>
      <c r="H177" s="18">
        <f>ROUND(SUMPRODUCT(SUMIF(Final!$G$5:$G$331,CashReserveLevy!D177:F177,Final!$C$5:$C$331)),0)</f>
        <v>65811935</v>
      </c>
      <c r="I177" s="18">
        <f t="shared" si="11"/>
        <v>13162387</v>
      </c>
      <c r="J177" s="18">
        <f>ROUND(SUMPRODUCT(SUMIF(Final!$G$5:$G$331,CashReserveLevy!D177:F177,Final!$E$5:$E$331)),0)</f>
        <v>9456896</v>
      </c>
      <c r="K177" s="18">
        <f t="shared" si="12"/>
        <v>3705491</v>
      </c>
      <c r="L177" s="18">
        <f>INDEX(ActualCRLevy_SAS!$A$2:$D$328,MATCH(CashReserveLevy!$C177,ActualCRLevy_SAS!$B$2:$B$328,0),4)</f>
        <v>3705491</v>
      </c>
      <c r="M177" s="19" t="str">
        <f t="shared" si="13"/>
        <v>Max</v>
      </c>
      <c r="N177" s="1" t="str">
        <f t="shared" si="14"/>
        <v/>
      </c>
      <c r="O177" s="1" t="str">
        <f t="shared" si="15"/>
        <v/>
      </c>
    </row>
    <row r="178" spans="1:15" x14ac:dyDescent="0.2">
      <c r="A178" s="17">
        <v>2023</v>
      </c>
      <c r="B178" s="17" t="s">
        <v>0</v>
      </c>
      <c r="C178" s="17" t="s">
        <v>363</v>
      </c>
      <c r="D178" s="17" t="s">
        <v>697</v>
      </c>
      <c r="E178" s="17" t="s">
        <v>697</v>
      </c>
      <c r="F178" s="17" t="s">
        <v>363</v>
      </c>
      <c r="G178" s="17" t="s">
        <v>364</v>
      </c>
      <c r="H178" s="18">
        <f>ROUND(SUMPRODUCT(SUMIF(Final!$G$5:$G$331,CashReserveLevy!D178:F178,Final!$C$5:$C$331)),0)</f>
        <v>6887276</v>
      </c>
      <c r="I178" s="18">
        <f t="shared" si="11"/>
        <v>1377455</v>
      </c>
      <c r="J178" s="18">
        <f>ROUND(SUMPRODUCT(SUMIF(Final!$G$5:$G$331,CashReserveLevy!D178:F178,Final!$E$5:$E$331)),0)</f>
        <v>676505</v>
      </c>
      <c r="K178" s="18">
        <f t="shared" si="12"/>
        <v>700950</v>
      </c>
      <c r="L178" s="18">
        <f>INDEX(ActualCRLevy_SAS!$A$2:$D$328,MATCH(CashReserveLevy!$C178,ActualCRLevy_SAS!$B$2:$B$328,0),4)</f>
        <v>700950</v>
      </c>
      <c r="M178" s="19" t="str">
        <f t="shared" si="13"/>
        <v>Max</v>
      </c>
      <c r="N178" s="1" t="str">
        <f t="shared" si="14"/>
        <v/>
      </c>
      <c r="O178" s="1" t="str">
        <f t="shared" si="15"/>
        <v/>
      </c>
    </row>
    <row r="179" spans="1:15" x14ac:dyDescent="0.2">
      <c r="A179" s="17">
        <v>2023</v>
      </c>
      <c r="B179" s="17" t="s">
        <v>5</v>
      </c>
      <c r="C179" s="17" t="s">
        <v>365</v>
      </c>
      <c r="D179" s="17" t="s">
        <v>697</v>
      </c>
      <c r="E179" s="17" t="s">
        <v>697</v>
      </c>
      <c r="F179" s="17" t="s">
        <v>365</v>
      </c>
      <c r="G179" s="17" t="s">
        <v>366</v>
      </c>
      <c r="H179" s="18">
        <f>ROUND(SUMPRODUCT(SUMIF(Final!$G$5:$G$331,CashReserveLevy!D179:F179,Final!$C$5:$C$331)),0)</f>
        <v>55337345</v>
      </c>
      <c r="I179" s="18">
        <f t="shared" si="11"/>
        <v>11067469</v>
      </c>
      <c r="J179" s="18">
        <f>ROUND(SUMPRODUCT(SUMIF(Final!$G$5:$G$331,CashReserveLevy!D179:F179,Final!$E$5:$E$331)),0)</f>
        <v>3001583</v>
      </c>
      <c r="K179" s="18">
        <f t="shared" si="12"/>
        <v>8065886</v>
      </c>
      <c r="L179" s="18">
        <f>INDEX(ActualCRLevy_SAS!$A$2:$D$328,MATCH(CashReserveLevy!$C179,ActualCRLevy_SAS!$B$2:$B$328,0),4)</f>
        <v>8065886</v>
      </c>
      <c r="M179" s="19" t="str">
        <f t="shared" si="13"/>
        <v>Max</v>
      </c>
      <c r="N179" s="1" t="str">
        <f t="shared" si="14"/>
        <v/>
      </c>
      <c r="O179" s="1" t="str">
        <f t="shared" si="15"/>
        <v/>
      </c>
    </row>
    <row r="180" spans="1:15" x14ac:dyDescent="0.2">
      <c r="A180" s="17">
        <v>2023</v>
      </c>
      <c r="B180" s="17" t="s">
        <v>17</v>
      </c>
      <c r="C180" s="17" t="s">
        <v>367</v>
      </c>
      <c r="D180" s="17" t="s">
        <v>697</v>
      </c>
      <c r="E180" s="17" t="s">
        <v>697</v>
      </c>
      <c r="F180" s="17" t="s">
        <v>367</v>
      </c>
      <c r="G180" s="17" t="s">
        <v>368</v>
      </c>
      <c r="H180" s="18">
        <f>ROUND(SUMPRODUCT(SUMIF(Final!$G$5:$G$331,CashReserveLevy!D180:F180,Final!$C$5:$C$331)),0)</f>
        <v>9989507</v>
      </c>
      <c r="I180" s="18">
        <f t="shared" si="11"/>
        <v>1997901</v>
      </c>
      <c r="J180" s="18">
        <f>ROUND(SUMPRODUCT(SUMIF(Final!$G$5:$G$331,CashReserveLevy!D180:F180,Final!$E$5:$E$331)),0)</f>
        <v>2534933</v>
      </c>
      <c r="K180" s="18">
        <f t="shared" si="12"/>
        <v>0</v>
      </c>
      <c r="L180" s="18">
        <f>INDEX(ActualCRLevy_SAS!$A$2:$D$328,MATCH(CashReserveLevy!$C180,ActualCRLevy_SAS!$B$2:$B$328,0),4)</f>
        <v>0</v>
      </c>
      <c r="M180" s="19" t="str">
        <f t="shared" si="13"/>
        <v/>
      </c>
      <c r="N180" s="1" t="str">
        <f t="shared" si="14"/>
        <v/>
      </c>
      <c r="O180" s="1" t="str">
        <f t="shared" si="15"/>
        <v/>
      </c>
    </row>
    <row r="181" spans="1:15" x14ac:dyDescent="0.2">
      <c r="A181" s="17">
        <v>2023</v>
      </c>
      <c r="B181" s="17" t="s">
        <v>0</v>
      </c>
      <c r="C181" s="17" t="s">
        <v>369</v>
      </c>
      <c r="D181" s="17" t="s">
        <v>697</v>
      </c>
      <c r="E181" s="17" t="s">
        <v>697</v>
      </c>
      <c r="F181" s="17" t="s">
        <v>369</v>
      </c>
      <c r="G181" s="17" t="s">
        <v>370</v>
      </c>
      <c r="H181" s="18">
        <f>ROUND(SUMPRODUCT(SUMIF(Final!$G$5:$G$331,CashReserveLevy!D181:F181,Final!$C$5:$C$331)),0)</f>
        <v>3989641</v>
      </c>
      <c r="I181" s="18">
        <f t="shared" si="11"/>
        <v>797928</v>
      </c>
      <c r="J181" s="18">
        <f>ROUND(SUMPRODUCT(SUMIF(Final!$G$5:$G$331,CashReserveLevy!D181:F181,Final!$E$5:$E$331)),0)</f>
        <v>1759089</v>
      </c>
      <c r="K181" s="18">
        <f t="shared" si="12"/>
        <v>0</v>
      </c>
      <c r="L181" s="18">
        <f>INDEX(ActualCRLevy_SAS!$A$2:$D$328,MATCH(CashReserveLevy!$C181,ActualCRLevy_SAS!$B$2:$B$328,0),4)</f>
        <v>0</v>
      </c>
      <c r="M181" s="19" t="str">
        <f t="shared" si="13"/>
        <v/>
      </c>
      <c r="N181" s="1" t="str">
        <f t="shared" si="14"/>
        <v/>
      </c>
      <c r="O181" s="1" t="str">
        <f t="shared" si="15"/>
        <v/>
      </c>
    </row>
    <row r="182" spans="1:15" x14ac:dyDescent="0.2">
      <c r="A182" s="17">
        <v>2023</v>
      </c>
      <c r="B182" s="17" t="s">
        <v>28</v>
      </c>
      <c r="C182" s="17" t="s">
        <v>371</v>
      </c>
      <c r="D182" s="17" t="s">
        <v>697</v>
      </c>
      <c r="E182" s="17" t="s">
        <v>697</v>
      </c>
      <c r="F182" s="17" t="s">
        <v>371</v>
      </c>
      <c r="G182" s="17" t="s">
        <v>372</v>
      </c>
      <c r="H182" s="18">
        <f>ROUND(SUMPRODUCT(SUMIF(Final!$G$5:$G$331,CashReserveLevy!D182:F182,Final!$C$5:$C$331)),0)</f>
        <v>9798197</v>
      </c>
      <c r="I182" s="18">
        <f t="shared" si="11"/>
        <v>1959639</v>
      </c>
      <c r="J182" s="18">
        <f>ROUND(SUMPRODUCT(SUMIF(Final!$G$5:$G$331,CashReserveLevy!D182:F182,Final!$E$5:$E$331)),0)</f>
        <v>1760883</v>
      </c>
      <c r="K182" s="18">
        <f t="shared" si="12"/>
        <v>198756</v>
      </c>
      <c r="L182" s="18">
        <f>INDEX(ActualCRLevy_SAS!$A$2:$D$328,MATCH(CashReserveLevy!$C182,ActualCRLevy_SAS!$B$2:$B$328,0),4)</f>
        <v>198756</v>
      </c>
      <c r="M182" s="19" t="str">
        <f t="shared" si="13"/>
        <v>Max</v>
      </c>
      <c r="N182" s="1" t="str">
        <f t="shared" si="14"/>
        <v/>
      </c>
      <c r="O182" s="1" t="str">
        <f t="shared" si="15"/>
        <v/>
      </c>
    </row>
    <row r="183" spans="1:15" x14ac:dyDescent="0.2">
      <c r="A183" s="17">
        <v>2023</v>
      </c>
      <c r="B183" s="17" t="s">
        <v>20</v>
      </c>
      <c r="C183" s="17" t="s">
        <v>373</v>
      </c>
      <c r="D183" s="17" t="s">
        <v>697</v>
      </c>
      <c r="E183" s="17" t="s">
        <v>697</v>
      </c>
      <c r="F183" s="17" t="s">
        <v>373</v>
      </c>
      <c r="G183" s="17" t="s">
        <v>374</v>
      </c>
      <c r="H183" s="18">
        <f>ROUND(SUMPRODUCT(SUMIF(Final!$G$5:$G$331,CashReserveLevy!D183:F183,Final!$C$5:$C$331)),0)</f>
        <v>6523451</v>
      </c>
      <c r="I183" s="18">
        <f t="shared" si="11"/>
        <v>1304690</v>
      </c>
      <c r="J183" s="18">
        <f>ROUND(SUMPRODUCT(SUMIF(Final!$G$5:$G$331,CashReserveLevy!D183:F183,Final!$E$5:$E$331)),0)</f>
        <v>2153758</v>
      </c>
      <c r="K183" s="18">
        <f t="shared" si="12"/>
        <v>0</v>
      </c>
      <c r="L183" s="18">
        <f>INDEX(ActualCRLevy_SAS!$A$2:$D$328,MATCH(CashReserveLevy!$C183,ActualCRLevy_SAS!$B$2:$B$328,0),4)</f>
        <v>0</v>
      </c>
      <c r="M183" s="19" t="str">
        <f t="shared" si="13"/>
        <v/>
      </c>
      <c r="N183" s="1" t="str">
        <f t="shared" si="14"/>
        <v/>
      </c>
      <c r="O183" s="1" t="str">
        <f t="shared" si="15"/>
        <v/>
      </c>
    </row>
    <row r="184" spans="1:15" x14ac:dyDescent="0.2">
      <c r="A184" s="17">
        <v>2023</v>
      </c>
      <c r="B184" s="17" t="s">
        <v>20</v>
      </c>
      <c r="C184" s="17" t="s">
        <v>375</v>
      </c>
      <c r="D184" s="17" t="s">
        <v>697</v>
      </c>
      <c r="E184" s="17" t="s">
        <v>697</v>
      </c>
      <c r="F184" s="17" t="s">
        <v>375</v>
      </c>
      <c r="G184" s="17" t="s">
        <v>376</v>
      </c>
      <c r="H184" s="18">
        <f>ROUND(SUMPRODUCT(SUMIF(Final!$G$5:$G$331,CashReserveLevy!D184:F184,Final!$C$5:$C$331)),0)</f>
        <v>18865948</v>
      </c>
      <c r="I184" s="18">
        <f t="shared" si="11"/>
        <v>3773190</v>
      </c>
      <c r="J184" s="18">
        <f>ROUND(SUMPRODUCT(SUMIF(Final!$G$5:$G$331,CashReserveLevy!D184:F184,Final!$E$5:$E$331)),0)</f>
        <v>3488430</v>
      </c>
      <c r="K184" s="18">
        <f t="shared" si="12"/>
        <v>284760</v>
      </c>
      <c r="L184" s="18">
        <f>INDEX(ActualCRLevy_SAS!$A$2:$D$328,MATCH(CashReserveLevy!$C184,ActualCRLevy_SAS!$B$2:$B$328,0),4)</f>
        <v>100000</v>
      </c>
      <c r="M184" s="19" t="str">
        <f t="shared" si="13"/>
        <v/>
      </c>
      <c r="N184" s="1" t="str">
        <f t="shared" si="14"/>
        <v/>
      </c>
      <c r="O184" s="1" t="str">
        <f t="shared" si="15"/>
        <v/>
      </c>
    </row>
    <row r="185" spans="1:15" x14ac:dyDescent="0.2">
      <c r="A185" s="17">
        <v>2023</v>
      </c>
      <c r="B185" s="17" t="s">
        <v>8</v>
      </c>
      <c r="C185" s="17" t="s">
        <v>377</v>
      </c>
      <c r="D185" s="17" t="s">
        <v>697</v>
      </c>
      <c r="E185" s="17" t="s">
        <v>697</v>
      </c>
      <c r="F185" s="17" t="s">
        <v>377</v>
      </c>
      <c r="G185" s="17" t="s">
        <v>378</v>
      </c>
      <c r="H185" s="18">
        <f>ROUND(SUMPRODUCT(SUMIF(Final!$G$5:$G$331,CashReserveLevy!D185:F185,Final!$C$5:$C$331)),0)</f>
        <v>10334861</v>
      </c>
      <c r="I185" s="18">
        <f t="shared" si="11"/>
        <v>2066972</v>
      </c>
      <c r="J185" s="18">
        <f>ROUND(SUMPRODUCT(SUMIF(Final!$G$5:$G$331,CashReserveLevy!D185:F185,Final!$E$5:$E$331)),0)</f>
        <v>2166708</v>
      </c>
      <c r="K185" s="18">
        <f t="shared" si="12"/>
        <v>0</v>
      </c>
      <c r="L185" s="18">
        <f>INDEX(ActualCRLevy_SAS!$A$2:$D$328,MATCH(CashReserveLevy!$C185,ActualCRLevy_SAS!$B$2:$B$328,0),4)</f>
        <v>0</v>
      </c>
      <c r="M185" s="19" t="str">
        <f t="shared" si="13"/>
        <v/>
      </c>
      <c r="N185" s="1" t="str">
        <f t="shared" si="14"/>
        <v/>
      </c>
      <c r="O185" s="1" t="str">
        <f t="shared" si="15"/>
        <v/>
      </c>
    </row>
    <row r="186" spans="1:15" x14ac:dyDescent="0.2">
      <c r="A186" s="17">
        <v>2023</v>
      </c>
      <c r="B186" s="17" t="s">
        <v>11</v>
      </c>
      <c r="C186" s="17" t="s">
        <v>379</v>
      </c>
      <c r="D186" s="17" t="s">
        <v>697</v>
      </c>
      <c r="E186" s="17" t="s">
        <v>697</v>
      </c>
      <c r="F186" s="17" t="s">
        <v>379</v>
      </c>
      <c r="G186" s="17" t="s">
        <v>380</v>
      </c>
      <c r="H186" s="18">
        <f>ROUND(SUMPRODUCT(SUMIF(Final!$G$5:$G$331,CashReserveLevy!D186:F186,Final!$C$5:$C$331)),0)</f>
        <v>17803033</v>
      </c>
      <c r="I186" s="18">
        <f t="shared" si="11"/>
        <v>3560607</v>
      </c>
      <c r="J186" s="18">
        <f>ROUND(SUMPRODUCT(SUMIF(Final!$G$5:$G$331,CashReserveLevy!D186:F186,Final!$E$5:$E$331)),0)</f>
        <v>4047523</v>
      </c>
      <c r="K186" s="18">
        <f t="shared" si="12"/>
        <v>0</v>
      </c>
      <c r="L186" s="18">
        <f>INDEX(ActualCRLevy_SAS!$A$2:$D$328,MATCH(CashReserveLevy!$C186,ActualCRLevy_SAS!$B$2:$B$328,0),4)</f>
        <v>0</v>
      </c>
      <c r="M186" s="19" t="str">
        <f t="shared" si="13"/>
        <v/>
      </c>
      <c r="N186" s="1" t="str">
        <f t="shared" si="14"/>
        <v/>
      </c>
      <c r="O186" s="1" t="str">
        <f t="shared" si="15"/>
        <v/>
      </c>
    </row>
    <row r="187" spans="1:15" x14ac:dyDescent="0.2">
      <c r="A187" s="17">
        <v>2023</v>
      </c>
      <c r="B187" s="17" t="s">
        <v>5</v>
      </c>
      <c r="C187" s="17" t="s">
        <v>381</v>
      </c>
      <c r="D187" s="17" t="s">
        <v>697</v>
      </c>
      <c r="E187" s="17" t="s">
        <v>697</v>
      </c>
      <c r="F187" s="17" t="s">
        <v>381</v>
      </c>
      <c r="G187" s="17" t="s">
        <v>382</v>
      </c>
      <c r="H187" s="18">
        <f>ROUND(SUMPRODUCT(SUMIF(Final!$G$5:$G$331,CashReserveLevy!D187:F187,Final!$C$5:$C$331)),0)</f>
        <v>5913849</v>
      </c>
      <c r="I187" s="18">
        <f t="shared" si="11"/>
        <v>1182770</v>
      </c>
      <c r="J187" s="18">
        <f>ROUND(SUMPRODUCT(SUMIF(Final!$G$5:$G$331,CashReserveLevy!D187:F187,Final!$E$5:$E$331)),0)</f>
        <v>1866513</v>
      </c>
      <c r="K187" s="18">
        <f t="shared" si="12"/>
        <v>0</v>
      </c>
      <c r="L187" s="18">
        <f>INDEX(ActualCRLevy_SAS!$A$2:$D$328,MATCH(CashReserveLevy!$C187,ActualCRLevy_SAS!$B$2:$B$328,0),4)</f>
        <v>0</v>
      </c>
      <c r="M187" s="19" t="str">
        <f t="shared" si="13"/>
        <v/>
      </c>
      <c r="N187" s="1" t="str">
        <f t="shared" si="14"/>
        <v/>
      </c>
      <c r="O187" s="1" t="str">
        <f t="shared" si="15"/>
        <v/>
      </c>
    </row>
    <row r="188" spans="1:15" x14ac:dyDescent="0.2">
      <c r="A188" s="17">
        <v>2023</v>
      </c>
      <c r="B188" s="17" t="s">
        <v>20</v>
      </c>
      <c r="C188" s="17" t="s">
        <v>383</v>
      </c>
      <c r="D188" s="17" t="s">
        <v>697</v>
      </c>
      <c r="E188" s="17" t="s">
        <v>697</v>
      </c>
      <c r="F188" s="17" t="s">
        <v>383</v>
      </c>
      <c r="G188" s="17" t="s">
        <v>384</v>
      </c>
      <c r="H188" s="18">
        <f>ROUND(SUMPRODUCT(SUMIF(Final!$G$5:$G$331,CashReserveLevy!D188:F188,Final!$C$5:$C$331)),0)</f>
        <v>12281968</v>
      </c>
      <c r="I188" s="18">
        <f t="shared" si="11"/>
        <v>2456394</v>
      </c>
      <c r="J188" s="18">
        <f>ROUND(SUMPRODUCT(SUMIF(Final!$G$5:$G$331,CashReserveLevy!D188:F188,Final!$E$5:$E$331)),0)</f>
        <v>2565198</v>
      </c>
      <c r="K188" s="18">
        <f t="shared" si="12"/>
        <v>0</v>
      </c>
      <c r="L188" s="18">
        <f>INDEX(ActualCRLevy_SAS!$A$2:$D$328,MATCH(CashReserveLevy!$C188,ActualCRLevy_SAS!$B$2:$B$328,0),4)</f>
        <v>0</v>
      </c>
      <c r="M188" s="19" t="str">
        <f t="shared" si="13"/>
        <v/>
      </c>
      <c r="N188" s="1" t="str">
        <f t="shared" si="14"/>
        <v/>
      </c>
      <c r="O188" s="1" t="str">
        <f t="shared" si="15"/>
        <v/>
      </c>
    </row>
    <row r="189" spans="1:15" x14ac:dyDescent="0.2">
      <c r="A189" s="17">
        <v>2023</v>
      </c>
      <c r="B189" s="17" t="s">
        <v>17</v>
      </c>
      <c r="C189" s="17" t="s">
        <v>385</v>
      </c>
      <c r="D189" s="17" t="s">
        <v>697</v>
      </c>
      <c r="E189" s="17" t="s">
        <v>697</v>
      </c>
      <c r="F189" s="17" t="s">
        <v>385</v>
      </c>
      <c r="G189" s="17" t="s">
        <v>386</v>
      </c>
      <c r="H189" s="18">
        <f>ROUND(SUMPRODUCT(SUMIF(Final!$G$5:$G$331,CashReserveLevy!D189:F189,Final!$C$5:$C$331)),0)</f>
        <v>4724091</v>
      </c>
      <c r="I189" s="18">
        <f t="shared" si="11"/>
        <v>944818</v>
      </c>
      <c r="J189" s="18">
        <f>ROUND(SUMPRODUCT(SUMIF(Final!$G$5:$G$331,CashReserveLevy!D189:F189,Final!$E$5:$E$331)),0)</f>
        <v>1900968</v>
      </c>
      <c r="K189" s="18">
        <f t="shared" si="12"/>
        <v>0</v>
      </c>
      <c r="L189" s="18">
        <f>INDEX(ActualCRLevy_SAS!$A$2:$D$328,MATCH(CashReserveLevy!$C189,ActualCRLevy_SAS!$B$2:$B$328,0),4)</f>
        <v>0</v>
      </c>
      <c r="M189" s="19" t="str">
        <f t="shared" si="13"/>
        <v/>
      </c>
      <c r="N189" s="1" t="str">
        <f t="shared" si="14"/>
        <v/>
      </c>
      <c r="O189" s="1" t="str">
        <f t="shared" si="15"/>
        <v/>
      </c>
    </row>
    <row r="190" spans="1:15" x14ac:dyDescent="0.2">
      <c r="A190" s="17">
        <v>2023</v>
      </c>
      <c r="B190" s="17" t="s">
        <v>8</v>
      </c>
      <c r="C190" s="17" t="s">
        <v>387</v>
      </c>
      <c r="D190" s="17" t="s">
        <v>697</v>
      </c>
      <c r="E190" s="17" t="s">
        <v>697</v>
      </c>
      <c r="F190" s="17" t="s">
        <v>387</v>
      </c>
      <c r="G190" s="17" t="s">
        <v>388</v>
      </c>
      <c r="H190" s="18">
        <f>ROUND(SUMPRODUCT(SUMIF(Final!$G$5:$G$331,CashReserveLevy!D190:F190,Final!$C$5:$C$331)),0)</f>
        <v>3761742</v>
      </c>
      <c r="I190" s="18">
        <f t="shared" si="11"/>
        <v>752348</v>
      </c>
      <c r="J190" s="18">
        <f>ROUND(SUMPRODUCT(SUMIF(Final!$G$5:$G$331,CashReserveLevy!D190:F190,Final!$E$5:$E$331)),0)</f>
        <v>334800</v>
      </c>
      <c r="K190" s="18">
        <f t="shared" si="12"/>
        <v>417548</v>
      </c>
      <c r="L190" s="18">
        <f>INDEX(ActualCRLevy_SAS!$A$2:$D$328,MATCH(CashReserveLevy!$C190,ActualCRLevy_SAS!$B$2:$B$328,0),4)</f>
        <v>53216</v>
      </c>
      <c r="M190" s="19" t="str">
        <f t="shared" si="13"/>
        <v/>
      </c>
      <c r="N190" s="1" t="str">
        <f t="shared" si="14"/>
        <v/>
      </c>
      <c r="O190" s="1" t="str">
        <f t="shared" si="15"/>
        <v/>
      </c>
    </row>
    <row r="191" spans="1:15" x14ac:dyDescent="0.2">
      <c r="A191" s="17">
        <v>2023</v>
      </c>
      <c r="B191" s="17" t="s">
        <v>17</v>
      </c>
      <c r="C191" s="17" t="s">
        <v>389</v>
      </c>
      <c r="D191" s="17" t="s">
        <v>697</v>
      </c>
      <c r="E191" s="17" t="s">
        <v>697</v>
      </c>
      <c r="F191" s="17" t="s">
        <v>389</v>
      </c>
      <c r="G191" s="17" t="s">
        <v>390</v>
      </c>
      <c r="H191" s="18">
        <f>ROUND(SUMPRODUCT(SUMIF(Final!$G$5:$G$331,CashReserveLevy!D191:F191,Final!$C$5:$C$331)),0)</f>
        <v>2489443</v>
      </c>
      <c r="I191" s="18">
        <f t="shared" si="11"/>
        <v>497889</v>
      </c>
      <c r="J191" s="18">
        <f>ROUND(SUMPRODUCT(SUMIF(Final!$G$5:$G$331,CashReserveLevy!D191:F191,Final!$E$5:$E$331)),0)</f>
        <v>1538836</v>
      </c>
      <c r="K191" s="18">
        <f t="shared" si="12"/>
        <v>0</v>
      </c>
      <c r="L191" s="18">
        <f>INDEX(ActualCRLevy_SAS!$A$2:$D$328,MATCH(CashReserveLevy!$C191,ActualCRLevy_SAS!$B$2:$B$328,0),4)</f>
        <v>0</v>
      </c>
      <c r="M191" s="19" t="str">
        <f t="shared" si="13"/>
        <v/>
      </c>
      <c r="N191" s="1" t="str">
        <f t="shared" si="14"/>
        <v/>
      </c>
      <c r="O191" s="1" t="str">
        <f t="shared" si="15"/>
        <v/>
      </c>
    </row>
    <row r="192" spans="1:15" x14ac:dyDescent="0.2">
      <c r="A192" s="17">
        <v>2023</v>
      </c>
      <c r="B192" s="17" t="s">
        <v>17</v>
      </c>
      <c r="C192" s="17" t="s">
        <v>391</v>
      </c>
      <c r="D192" s="17" t="s">
        <v>697</v>
      </c>
      <c r="E192" s="17" t="s">
        <v>697</v>
      </c>
      <c r="F192" s="17" t="s">
        <v>391</v>
      </c>
      <c r="G192" s="17" t="s">
        <v>392</v>
      </c>
      <c r="H192" s="18">
        <f>ROUND(SUMPRODUCT(SUMIF(Final!$G$5:$G$331,CashReserveLevy!D192:F192,Final!$C$5:$C$331)),0)</f>
        <v>2978213</v>
      </c>
      <c r="I192" s="18">
        <f t="shared" si="11"/>
        <v>595643</v>
      </c>
      <c r="J192" s="18">
        <f>ROUND(SUMPRODUCT(SUMIF(Final!$G$5:$G$331,CashReserveLevy!D192:F192,Final!$E$5:$E$331)),0)</f>
        <v>728195</v>
      </c>
      <c r="K192" s="18">
        <f t="shared" si="12"/>
        <v>0</v>
      </c>
      <c r="L192" s="18">
        <f>INDEX(ActualCRLevy_SAS!$A$2:$D$328,MATCH(CashReserveLevy!$C192,ActualCRLevy_SAS!$B$2:$B$328,0),4)</f>
        <v>0</v>
      </c>
      <c r="M192" s="19" t="str">
        <f t="shared" si="13"/>
        <v/>
      </c>
      <c r="N192" s="1" t="str">
        <f t="shared" si="14"/>
        <v/>
      </c>
      <c r="O192" s="1" t="str">
        <f t="shared" si="15"/>
        <v/>
      </c>
    </row>
    <row r="193" spans="1:15" x14ac:dyDescent="0.2">
      <c r="A193" s="17">
        <v>2023</v>
      </c>
      <c r="B193" s="17" t="s">
        <v>8</v>
      </c>
      <c r="C193" s="17" t="s">
        <v>393</v>
      </c>
      <c r="D193" s="17" t="s">
        <v>697</v>
      </c>
      <c r="E193" s="17" t="s">
        <v>697</v>
      </c>
      <c r="F193" s="17" t="s">
        <v>393</v>
      </c>
      <c r="G193" s="17" t="s">
        <v>394</v>
      </c>
      <c r="H193" s="18">
        <f>ROUND(SUMPRODUCT(SUMIF(Final!$G$5:$G$331,CashReserveLevy!D193:F193,Final!$C$5:$C$331)),0)</f>
        <v>8649614</v>
      </c>
      <c r="I193" s="18">
        <f t="shared" si="11"/>
        <v>1729923</v>
      </c>
      <c r="J193" s="18">
        <f>ROUND(SUMPRODUCT(SUMIF(Final!$G$5:$G$331,CashReserveLevy!D193:F193,Final!$E$5:$E$331)),0)</f>
        <v>2195311</v>
      </c>
      <c r="K193" s="18">
        <f t="shared" si="12"/>
        <v>0</v>
      </c>
      <c r="L193" s="18">
        <f>INDEX(ActualCRLevy_SAS!$A$2:$D$328,MATCH(CashReserveLevy!$C193,ActualCRLevy_SAS!$B$2:$B$328,0),4)</f>
        <v>0</v>
      </c>
      <c r="M193" s="19" t="str">
        <f t="shared" si="13"/>
        <v/>
      </c>
      <c r="N193" s="1" t="str">
        <f t="shared" si="14"/>
        <v/>
      </c>
      <c r="O193" s="1" t="str">
        <f t="shared" si="15"/>
        <v/>
      </c>
    </row>
    <row r="194" spans="1:15" x14ac:dyDescent="0.2">
      <c r="A194" s="17">
        <v>2023</v>
      </c>
      <c r="B194" s="17" t="s">
        <v>17</v>
      </c>
      <c r="C194" s="17" t="s">
        <v>395</v>
      </c>
      <c r="D194" s="17" t="s">
        <v>697</v>
      </c>
      <c r="E194" s="17" t="s">
        <v>697</v>
      </c>
      <c r="F194" s="17" t="s">
        <v>395</v>
      </c>
      <c r="G194" s="17" t="s">
        <v>396</v>
      </c>
      <c r="H194" s="18">
        <f>ROUND(SUMPRODUCT(SUMIF(Final!$G$5:$G$331,CashReserveLevy!D194:F194,Final!$C$5:$C$331)),0)</f>
        <v>23303977</v>
      </c>
      <c r="I194" s="18">
        <f t="shared" si="11"/>
        <v>4660795</v>
      </c>
      <c r="J194" s="18">
        <f>ROUND(SUMPRODUCT(SUMIF(Final!$G$5:$G$331,CashReserveLevy!D194:F194,Final!$E$5:$E$331)),0)</f>
        <v>3268884</v>
      </c>
      <c r="K194" s="18">
        <f t="shared" si="12"/>
        <v>1391911</v>
      </c>
      <c r="L194" s="18">
        <f>INDEX(ActualCRLevy_SAS!$A$2:$D$328,MATCH(CashReserveLevy!$C194,ActualCRLevy_SAS!$B$2:$B$328,0),4)</f>
        <v>1200000</v>
      </c>
      <c r="M194" s="19" t="str">
        <f t="shared" si="13"/>
        <v/>
      </c>
      <c r="N194" s="1" t="str">
        <f t="shared" si="14"/>
        <v/>
      </c>
      <c r="O194" s="1" t="str">
        <f t="shared" si="15"/>
        <v/>
      </c>
    </row>
    <row r="195" spans="1:15" x14ac:dyDescent="0.2">
      <c r="A195" s="17">
        <v>2023</v>
      </c>
      <c r="B195" s="17" t="s">
        <v>20</v>
      </c>
      <c r="C195" s="17" t="s">
        <v>397</v>
      </c>
      <c r="D195" s="17" t="s">
        <v>697</v>
      </c>
      <c r="E195" s="17" t="s">
        <v>697</v>
      </c>
      <c r="F195" s="17" t="s">
        <v>397</v>
      </c>
      <c r="G195" s="17" t="s">
        <v>398</v>
      </c>
      <c r="H195" s="18">
        <f>ROUND(SUMPRODUCT(SUMIF(Final!$G$5:$G$331,CashReserveLevy!D195:F195,Final!$C$5:$C$331)),0)</f>
        <v>15749276</v>
      </c>
      <c r="I195" s="18">
        <f t="shared" si="11"/>
        <v>3149855</v>
      </c>
      <c r="J195" s="18">
        <f>ROUND(SUMPRODUCT(SUMIF(Final!$G$5:$G$331,CashReserveLevy!D195:F195,Final!$E$5:$E$331)),0)</f>
        <v>2384833</v>
      </c>
      <c r="K195" s="18">
        <f t="shared" si="12"/>
        <v>765022</v>
      </c>
      <c r="L195" s="18">
        <f>INDEX(ActualCRLevy_SAS!$A$2:$D$328,MATCH(CashReserveLevy!$C195,ActualCRLevy_SAS!$B$2:$B$328,0),4)</f>
        <v>765022</v>
      </c>
      <c r="M195" s="19" t="str">
        <f t="shared" si="13"/>
        <v>Max</v>
      </c>
      <c r="N195" s="1" t="str">
        <f t="shared" si="14"/>
        <v/>
      </c>
      <c r="O195" s="1" t="str">
        <f t="shared" si="15"/>
        <v/>
      </c>
    </row>
    <row r="196" spans="1:15" x14ac:dyDescent="0.2">
      <c r="A196" s="17">
        <v>2023</v>
      </c>
      <c r="B196" s="17" t="s">
        <v>8</v>
      </c>
      <c r="C196" s="17" t="s">
        <v>399</v>
      </c>
      <c r="D196" s="17" t="s">
        <v>697</v>
      </c>
      <c r="E196" s="17" t="s">
        <v>697</v>
      </c>
      <c r="F196" s="17" t="s">
        <v>399</v>
      </c>
      <c r="G196" s="17" t="s">
        <v>400</v>
      </c>
      <c r="H196" s="18">
        <f>ROUND(SUMPRODUCT(SUMIF(Final!$G$5:$G$331,CashReserveLevy!D196:F196,Final!$C$5:$C$331)),0)</f>
        <v>3593299</v>
      </c>
      <c r="I196" s="18">
        <f t="shared" ref="I196:I259" si="16">ROUND(H196*0.2,0)</f>
        <v>718660</v>
      </c>
      <c r="J196" s="18">
        <f>ROUND(SUMPRODUCT(SUMIF(Final!$G$5:$G$331,CashReserveLevy!D196:F196,Final!$E$5:$E$331)),0)</f>
        <v>1665989</v>
      </c>
      <c r="K196" s="18">
        <f t="shared" ref="K196:K259" si="17">IF(I196&gt;J196,I196-J196,0)</f>
        <v>0</v>
      </c>
      <c r="L196" s="18">
        <f>INDEX(ActualCRLevy_SAS!$A$2:$D$328,MATCH(CashReserveLevy!$C196,ActualCRLevy_SAS!$B$2:$B$328,0),4)</f>
        <v>0</v>
      </c>
      <c r="M196" s="19" t="str">
        <f t="shared" ref="M196:M259" si="18">IF(AND(L196=K196,K196&gt;0),"Max","")</f>
        <v/>
      </c>
      <c r="N196" s="1" t="str">
        <f t="shared" ref="N196:N259" si="19">IF(AND(L196&lt;K196,L196=0),"No Levy but have Capacity","")</f>
        <v/>
      </c>
      <c r="O196" s="1" t="str">
        <f t="shared" si="15"/>
        <v/>
      </c>
    </row>
    <row r="197" spans="1:15" x14ac:dyDescent="0.2">
      <c r="A197" s="17">
        <v>2023</v>
      </c>
      <c r="B197" s="17" t="s">
        <v>37</v>
      </c>
      <c r="C197" s="17" t="s">
        <v>401</v>
      </c>
      <c r="D197" s="17" t="s">
        <v>697</v>
      </c>
      <c r="E197" s="17" t="s">
        <v>697</v>
      </c>
      <c r="F197" s="17" t="s">
        <v>401</v>
      </c>
      <c r="G197" s="17" t="s">
        <v>402</v>
      </c>
      <c r="H197" s="18">
        <f>ROUND(SUMPRODUCT(SUMIF(Final!$G$5:$G$331,CashReserveLevy!D197:F197,Final!$C$5:$C$331)),0)</f>
        <v>56665070</v>
      </c>
      <c r="I197" s="18">
        <f t="shared" si="16"/>
        <v>11333014</v>
      </c>
      <c r="J197" s="18">
        <f>ROUND(SUMPRODUCT(SUMIF(Final!$G$5:$G$331,CashReserveLevy!D197:F197,Final!$E$5:$E$331)),0)</f>
        <v>10370243</v>
      </c>
      <c r="K197" s="18">
        <f t="shared" si="17"/>
        <v>962771</v>
      </c>
      <c r="L197" s="18">
        <f>INDEX(ActualCRLevy_SAS!$A$2:$D$328,MATCH(CashReserveLevy!$C197,ActualCRLevy_SAS!$B$2:$B$328,0),4)</f>
        <v>962771</v>
      </c>
      <c r="M197" s="19" t="str">
        <f t="shared" si="18"/>
        <v>Max</v>
      </c>
      <c r="N197" s="1" t="str">
        <f t="shared" si="19"/>
        <v/>
      </c>
      <c r="O197" s="1" t="str">
        <f t="shared" si="15"/>
        <v/>
      </c>
    </row>
    <row r="198" spans="1:15" x14ac:dyDescent="0.2">
      <c r="A198" s="17">
        <v>2023</v>
      </c>
      <c r="B198" s="17" t="s">
        <v>5</v>
      </c>
      <c r="C198" s="17" t="s">
        <v>403</v>
      </c>
      <c r="D198" s="17" t="s">
        <v>697</v>
      </c>
      <c r="E198" s="17" t="s">
        <v>697</v>
      </c>
      <c r="F198" s="17" t="s">
        <v>403</v>
      </c>
      <c r="G198" s="17" t="s">
        <v>404</v>
      </c>
      <c r="H198" s="18">
        <f>ROUND(SUMPRODUCT(SUMIF(Final!$G$5:$G$331,CashReserveLevy!D198:F198,Final!$C$5:$C$331)),0)</f>
        <v>7182967</v>
      </c>
      <c r="I198" s="18">
        <f t="shared" si="16"/>
        <v>1436593</v>
      </c>
      <c r="J198" s="18">
        <f>ROUND(SUMPRODUCT(SUMIF(Final!$G$5:$G$331,CashReserveLevy!D198:F198,Final!$E$5:$E$331)),0)</f>
        <v>2161403</v>
      </c>
      <c r="K198" s="18">
        <f t="shared" si="17"/>
        <v>0</v>
      </c>
      <c r="L198" s="18">
        <f>INDEX(ActualCRLevy_SAS!$A$2:$D$328,MATCH(CashReserveLevy!$C198,ActualCRLevy_SAS!$B$2:$B$328,0),4)</f>
        <v>0</v>
      </c>
      <c r="M198" s="19" t="str">
        <f t="shared" si="18"/>
        <v/>
      </c>
      <c r="N198" s="1" t="str">
        <f t="shared" si="19"/>
        <v/>
      </c>
      <c r="O198" s="1" t="str">
        <f t="shared" si="15"/>
        <v/>
      </c>
    </row>
    <row r="199" spans="1:15" x14ac:dyDescent="0.2">
      <c r="A199" s="17">
        <v>2023</v>
      </c>
      <c r="B199" s="17" t="s">
        <v>0</v>
      </c>
      <c r="C199" s="17" t="s">
        <v>405</v>
      </c>
      <c r="D199" s="17" t="s">
        <v>697</v>
      </c>
      <c r="E199" s="17" t="s">
        <v>697</v>
      </c>
      <c r="F199" s="17" t="s">
        <v>405</v>
      </c>
      <c r="G199" s="17" t="s">
        <v>406</v>
      </c>
      <c r="H199" s="18">
        <f>ROUND(SUMPRODUCT(SUMIF(Final!$G$5:$G$331,CashReserveLevy!D199:F199,Final!$C$5:$C$331)),0)</f>
        <v>18839414</v>
      </c>
      <c r="I199" s="18">
        <f t="shared" si="16"/>
        <v>3767883</v>
      </c>
      <c r="J199" s="18">
        <f>ROUND(SUMPRODUCT(SUMIF(Final!$G$5:$G$331,CashReserveLevy!D199:F199,Final!$E$5:$E$331)),0)</f>
        <v>3000400</v>
      </c>
      <c r="K199" s="18">
        <f t="shared" si="17"/>
        <v>767483</v>
      </c>
      <c r="L199" s="18">
        <f>INDEX(ActualCRLevy_SAS!$A$2:$D$328,MATCH(CashReserveLevy!$C199,ActualCRLevy_SAS!$B$2:$B$328,0),4)</f>
        <v>490835</v>
      </c>
      <c r="M199" s="19" t="str">
        <f t="shared" si="18"/>
        <v/>
      </c>
      <c r="N199" s="1" t="str">
        <f t="shared" si="19"/>
        <v/>
      </c>
      <c r="O199" s="1" t="str">
        <f t="shared" si="15"/>
        <v/>
      </c>
    </row>
    <row r="200" spans="1:15" x14ac:dyDescent="0.2">
      <c r="A200" s="17">
        <v>2023</v>
      </c>
      <c r="B200" s="17" t="s">
        <v>28</v>
      </c>
      <c r="C200" s="17" t="s">
        <v>407</v>
      </c>
      <c r="D200" s="17" t="s">
        <v>697</v>
      </c>
      <c r="E200" s="17" t="s">
        <v>697</v>
      </c>
      <c r="F200" s="17" t="s">
        <v>407</v>
      </c>
      <c r="G200" s="17" t="s">
        <v>408</v>
      </c>
      <c r="H200" s="18">
        <f>ROUND(SUMPRODUCT(SUMIF(Final!$G$5:$G$331,CashReserveLevy!D200:F200,Final!$C$5:$C$331)),0)</f>
        <v>11911366</v>
      </c>
      <c r="I200" s="18">
        <f t="shared" si="16"/>
        <v>2382273</v>
      </c>
      <c r="J200" s="18">
        <f>ROUND(SUMPRODUCT(SUMIF(Final!$G$5:$G$331,CashReserveLevy!D200:F200,Final!$E$5:$E$331)),0)</f>
        <v>2635443</v>
      </c>
      <c r="K200" s="18">
        <f t="shared" si="17"/>
        <v>0</v>
      </c>
      <c r="L200" s="18">
        <f>INDEX(ActualCRLevy_SAS!$A$2:$D$328,MATCH(CashReserveLevy!$C200,ActualCRLevy_SAS!$B$2:$B$328,0),4)</f>
        <v>0</v>
      </c>
      <c r="M200" s="19" t="str">
        <f t="shared" si="18"/>
        <v/>
      </c>
      <c r="N200" s="1" t="str">
        <f t="shared" si="19"/>
        <v/>
      </c>
      <c r="O200" s="1" t="str">
        <f t="shared" si="15"/>
        <v/>
      </c>
    </row>
    <row r="201" spans="1:15" x14ac:dyDescent="0.2">
      <c r="A201" s="17">
        <v>2023</v>
      </c>
      <c r="B201" s="17" t="s">
        <v>17</v>
      </c>
      <c r="C201" s="17" t="s">
        <v>409</v>
      </c>
      <c r="D201" s="17" t="s">
        <v>697</v>
      </c>
      <c r="E201" s="17" t="s">
        <v>697</v>
      </c>
      <c r="F201" s="17" t="s">
        <v>409</v>
      </c>
      <c r="G201" s="17" t="s">
        <v>410</v>
      </c>
      <c r="H201" s="18">
        <f>ROUND(SUMPRODUCT(SUMIF(Final!$G$5:$G$331,CashReserveLevy!D201:F201,Final!$C$5:$C$331)),0)</f>
        <v>6512452</v>
      </c>
      <c r="I201" s="18">
        <f t="shared" si="16"/>
        <v>1302490</v>
      </c>
      <c r="J201" s="18">
        <f>ROUND(SUMPRODUCT(SUMIF(Final!$G$5:$G$331,CashReserveLevy!D201:F201,Final!$E$5:$E$331)),0)</f>
        <v>946649</v>
      </c>
      <c r="K201" s="18">
        <f t="shared" si="17"/>
        <v>355841</v>
      </c>
      <c r="L201" s="18">
        <f>INDEX(ActualCRLevy_SAS!$A$2:$D$328,MATCH(CashReserveLevy!$C201,ActualCRLevy_SAS!$B$2:$B$328,0),4)</f>
        <v>355841</v>
      </c>
      <c r="M201" s="19" t="str">
        <f t="shared" si="18"/>
        <v>Max</v>
      </c>
      <c r="N201" s="1" t="str">
        <f t="shared" si="19"/>
        <v/>
      </c>
      <c r="O201" s="1" t="str">
        <f t="shared" si="15"/>
        <v/>
      </c>
    </row>
    <row r="202" spans="1:15" x14ac:dyDescent="0.2">
      <c r="A202" s="17">
        <v>2023</v>
      </c>
      <c r="B202" s="17" t="s">
        <v>14</v>
      </c>
      <c r="C202" s="17" t="s">
        <v>411</v>
      </c>
      <c r="D202" s="17" t="s">
        <v>697</v>
      </c>
      <c r="E202" s="17" t="s">
        <v>697</v>
      </c>
      <c r="F202" s="17" t="s">
        <v>411</v>
      </c>
      <c r="G202" s="17" t="s">
        <v>412</v>
      </c>
      <c r="H202" s="18">
        <f>ROUND(SUMPRODUCT(SUMIF(Final!$G$5:$G$331,CashReserveLevy!D202:F202,Final!$C$5:$C$331)),0)</f>
        <v>6640016</v>
      </c>
      <c r="I202" s="18">
        <f t="shared" si="16"/>
        <v>1328003</v>
      </c>
      <c r="J202" s="18">
        <f>ROUND(SUMPRODUCT(SUMIF(Final!$G$5:$G$331,CashReserveLevy!D202:F202,Final!$E$5:$E$331)),0)</f>
        <v>394071</v>
      </c>
      <c r="K202" s="18">
        <f t="shared" si="17"/>
        <v>933932</v>
      </c>
      <c r="L202" s="18">
        <f>INDEX(ActualCRLevy_SAS!$A$2:$D$328,MATCH(CashReserveLevy!$C202,ActualCRLevy_SAS!$B$2:$B$328,0),4)</f>
        <v>808000</v>
      </c>
      <c r="M202" s="19" t="str">
        <f t="shared" si="18"/>
        <v/>
      </c>
      <c r="N202" s="1" t="str">
        <f t="shared" si="19"/>
        <v/>
      </c>
      <c r="O202" s="1" t="str">
        <f t="shared" si="15"/>
        <v/>
      </c>
    </row>
    <row r="203" spans="1:15" x14ac:dyDescent="0.2">
      <c r="A203" s="17">
        <v>2023</v>
      </c>
      <c r="B203" s="17" t="s">
        <v>0</v>
      </c>
      <c r="C203" s="17" t="s">
        <v>413</v>
      </c>
      <c r="D203" s="17" t="s">
        <v>697</v>
      </c>
      <c r="E203" s="17" t="s">
        <v>697</v>
      </c>
      <c r="F203" s="17" t="s">
        <v>413</v>
      </c>
      <c r="G203" s="17" t="s">
        <v>414</v>
      </c>
      <c r="H203" s="18">
        <f>ROUND(SUMPRODUCT(SUMIF(Final!$G$5:$G$331,CashReserveLevy!D203:F203,Final!$C$5:$C$331)),0)</f>
        <v>34595679</v>
      </c>
      <c r="I203" s="18">
        <f t="shared" si="16"/>
        <v>6919136</v>
      </c>
      <c r="J203" s="18">
        <f>ROUND(SUMPRODUCT(SUMIF(Final!$G$5:$G$331,CashReserveLevy!D203:F203,Final!$E$5:$E$331)),0)</f>
        <v>4205363</v>
      </c>
      <c r="K203" s="18">
        <f t="shared" si="17"/>
        <v>2713773</v>
      </c>
      <c r="L203" s="18">
        <f>INDEX(ActualCRLevy_SAS!$A$2:$D$328,MATCH(CashReserveLevy!$C203,ActualCRLevy_SAS!$B$2:$B$328,0),4)</f>
        <v>1738169</v>
      </c>
      <c r="M203" s="19" t="str">
        <f t="shared" si="18"/>
        <v/>
      </c>
      <c r="N203" s="1" t="str">
        <f t="shared" si="19"/>
        <v/>
      </c>
      <c r="O203" s="1" t="str">
        <f t="shared" si="15"/>
        <v/>
      </c>
    </row>
    <row r="204" spans="1:15" x14ac:dyDescent="0.2">
      <c r="A204" s="17">
        <v>2023</v>
      </c>
      <c r="B204" s="17" t="s">
        <v>8</v>
      </c>
      <c r="C204" s="17" t="s">
        <v>415</v>
      </c>
      <c r="D204" s="17" t="s">
        <v>697</v>
      </c>
      <c r="E204" s="17" t="s">
        <v>697</v>
      </c>
      <c r="F204" s="17" t="s">
        <v>415</v>
      </c>
      <c r="G204" s="17" t="s">
        <v>416</v>
      </c>
      <c r="H204" s="18">
        <f>ROUND(SUMPRODUCT(SUMIF(Final!$G$5:$G$331,CashReserveLevy!D204:F204,Final!$C$5:$C$331)),0)</f>
        <v>7681436</v>
      </c>
      <c r="I204" s="18">
        <f t="shared" si="16"/>
        <v>1536287</v>
      </c>
      <c r="J204" s="18">
        <f>ROUND(SUMPRODUCT(SUMIF(Final!$G$5:$G$331,CashReserveLevy!D204:F204,Final!$E$5:$E$331)),0)</f>
        <v>3253366</v>
      </c>
      <c r="K204" s="18">
        <f t="shared" si="17"/>
        <v>0</v>
      </c>
      <c r="L204" s="18">
        <f>INDEX(ActualCRLevy_SAS!$A$2:$D$328,MATCH(CashReserveLevy!$C204,ActualCRLevy_SAS!$B$2:$B$328,0),4)</f>
        <v>0</v>
      </c>
      <c r="M204" s="19" t="str">
        <f t="shared" si="18"/>
        <v/>
      </c>
      <c r="N204" s="1" t="str">
        <f t="shared" si="19"/>
        <v/>
      </c>
      <c r="O204" s="1" t="str">
        <f t="shared" si="15"/>
        <v/>
      </c>
    </row>
    <row r="205" spans="1:15" x14ac:dyDescent="0.2">
      <c r="A205" s="17">
        <v>2023</v>
      </c>
      <c r="B205" s="17" t="s">
        <v>5</v>
      </c>
      <c r="C205" s="17" t="s">
        <v>417</v>
      </c>
      <c r="D205" s="17" t="s">
        <v>697</v>
      </c>
      <c r="E205" s="17" t="s">
        <v>697</v>
      </c>
      <c r="F205" s="17" t="s">
        <v>417</v>
      </c>
      <c r="G205" s="17" t="s">
        <v>418</v>
      </c>
      <c r="H205" s="18">
        <f>ROUND(SUMPRODUCT(SUMIF(Final!$G$5:$G$331,CashReserveLevy!D205:F205,Final!$C$5:$C$331)),0)</f>
        <v>7995057</v>
      </c>
      <c r="I205" s="18">
        <f t="shared" si="16"/>
        <v>1599011</v>
      </c>
      <c r="J205" s="18">
        <f>ROUND(SUMPRODUCT(SUMIF(Final!$G$5:$G$331,CashReserveLevy!D205:F205,Final!$E$5:$E$331)),0)</f>
        <v>1452562</v>
      </c>
      <c r="K205" s="18">
        <f t="shared" si="17"/>
        <v>146449</v>
      </c>
      <c r="L205" s="18">
        <f>INDEX(ActualCRLevy_SAS!$A$2:$D$328,MATCH(CashReserveLevy!$C205,ActualCRLevy_SAS!$B$2:$B$328,0),4)</f>
        <v>146449</v>
      </c>
      <c r="M205" s="19" t="str">
        <f t="shared" si="18"/>
        <v>Max</v>
      </c>
      <c r="N205" s="1" t="str">
        <f t="shared" si="19"/>
        <v/>
      </c>
      <c r="O205" s="1" t="str">
        <f t="shared" ref="O205:O268" si="20">IF(L205&gt;K205,"Exceedes Maximum Limit","")</f>
        <v/>
      </c>
    </row>
    <row r="206" spans="1:15" x14ac:dyDescent="0.2">
      <c r="A206" s="17">
        <v>2023</v>
      </c>
      <c r="B206" s="17" t="s">
        <v>20</v>
      </c>
      <c r="C206" s="17" t="s">
        <v>419</v>
      </c>
      <c r="D206" s="17" t="s">
        <v>697</v>
      </c>
      <c r="E206" s="17" t="s">
        <v>697</v>
      </c>
      <c r="F206" s="17" t="s">
        <v>419</v>
      </c>
      <c r="G206" s="17" t="s">
        <v>420</v>
      </c>
      <c r="H206" s="18">
        <f>ROUND(SUMPRODUCT(SUMIF(Final!$G$5:$G$331,CashReserveLevy!D206:F206,Final!$C$5:$C$331)),0)</f>
        <v>10325238</v>
      </c>
      <c r="I206" s="18">
        <f t="shared" si="16"/>
        <v>2065048</v>
      </c>
      <c r="J206" s="18">
        <f>ROUND(SUMPRODUCT(SUMIF(Final!$G$5:$G$331,CashReserveLevy!D206:F206,Final!$E$5:$E$331)),0)</f>
        <v>1013870</v>
      </c>
      <c r="K206" s="18">
        <f t="shared" si="17"/>
        <v>1051178</v>
      </c>
      <c r="L206" s="18">
        <f>INDEX(ActualCRLevy_SAS!$A$2:$D$328,MATCH(CashReserveLevy!$C206,ActualCRLevy_SAS!$B$2:$B$328,0),4)</f>
        <v>572398</v>
      </c>
      <c r="M206" s="19" t="str">
        <f t="shared" si="18"/>
        <v/>
      </c>
      <c r="N206" s="1" t="str">
        <f t="shared" si="19"/>
        <v/>
      </c>
      <c r="O206" s="1" t="str">
        <f t="shared" si="20"/>
        <v/>
      </c>
    </row>
    <row r="207" spans="1:15" x14ac:dyDescent="0.2">
      <c r="A207" s="17">
        <v>2023</v>
      </c>
      <c r="B207" s="17" t="s">
        <v>28</v>
      </c>
      <c r="C207" s="17" t="s">
        <v>421</v>
      </c>
      <c r="D207" s="17" t="s">
        <v>697</v>
      </c>
      <c r="E207" s="17" t="s">
        <v>697</v>
      </c>
      <c r="F207" s="17" t="s">
        <v>421</v>
      </c>
      <c r="G207" s="17" t="s">
        <v>422</v>
      </c>
      <c r="H207" s="18">
        <f>ROUND(SUMPRODUCT(SUMIF(Final!$G$5:$G$331,CashReserveLevy!D207:F207,Final!$C$5:$C$331)),0)</f>
        <v>15474090</v>
      </c>
      <c r="I207" s="18">
        <f t="shared" si="16"/>
        <v>3094818</v>
      </c>
      <c r="J207" s="18">
        <f>ROUND(SUMPRODUCT(SUMIF(Final!$G$5:$G$331,CashReserveLevy!D207:F207,Final!$E$5:$E$331)),0)</f>
        <v>203832</v>
      </c>
      <c r="K207" s="18">
        <f t="shared" si="17"/>
        <v>2890986</v>
      </c>
      <c r="L207" s="18">
        <f>INDEX(ActualCRLevy_SAS!$A$2:$D$328,MATCH(CashReserveLevy!$C207,ActualCRLevy_SAS!$B$2:$B$328,0),4)</f>
        <v>553491</v>
      </c>
      <c r="M207" s="19" t="str">
        <f t="shared" si="18"/>
        <v/>
      </c>
      <c r="N207" s="1" t="str">
        <f t="shared" si="19"/>
        <v/>
      </c>
      <c r="O207" s="1" t="str">
        <f t="shared" si="20"/>
        <v/>
      </c>
    </row>
    <row r="208" spans="1:15" x14ac:dyDescent="0.2">
      <c r="A208" s="17">
        <v>2023</v>
      </c>
      <c r="B208" s="17" t="s">
        <v>5</v>
      </c>
      <c r="C208" s="17" t="s">
        <v>423</v>
      </c>
      <c r="D208" s="17" t="s">
        <v>697</v>
      </c>
      <c r="E208" s="17" t="s">
        <v>697</v>
      </c>
      <c r="F208" s="17" t="s">
        <v>423</v>
      </c>
      <c r="G208" s="17" t="s">
        <v>424</v>
      </c>
      <c r="H208" s="18">
        <f>ROUND(SUMPRODUCT(SUMIF(Final!$G$5:$G$331,CashReserveLevy!D208:F208,Final!$C$5:$C$331)),0)</f>
        <v>6068724</v>
      </c>
      <c r="I208" s="18">
        <f t="shared" si="16"/>
        <v>1213745</v>
      </c>
      <c r="J208" s="18">
        <f>ROUND(SUMPRODUCT(SUMIF(Final!$G$5:$G$331,CashReserveLevy!D208:F208,Final!$E$5:$E$331)),0)</f>
        <v>1876801</v>
      </c>
      <c r="K208" s="18">
        <f t="shared" si="17"/>
        <v>0</v>
      </c>
      <c r="L208" s="18">
        <f>INDEX(ActualCRLevy_SAS!$A$2:$D$328,MATCH(CashReserveLevy!$C208,ActualCRLevy_SAS!$B$2:$B$328,0),4)</f>
        <v>0</v>
      </c>
      <c r="M208" s="19" t="str">
        <f t="shared" si="18"/>
        <v/>
      </c>
      <c r="N208" s="1" t="str">
        <f t="shared" si="19"/>
        <v/>
      </c>
      <c r="O208" s="1" t="str">
        <f t="shared" si="20"/>
        <v/>
      </c>
    </row>
    <row r="209" spans="1:15" x14ac:dyDescent="0.2">
      <c r="A209" s="17">
        <v>2023</v>
      </c>
      <c r="B209" s="17" t="s">
        <v>14</v>
      </c>
      <c r="C209" s="17" t="s">
        <v>425</v>
      </c>
      <c r="D209" s="17" t="s">
        <v>697</v>
      </c>
      <c r="E209" s="17" t="s">
        <v>697</v>
      </c>
      <c r="F209" s="17" t="s">
        <v>425</v>
      </c>
      <c r="G209" s="17" t="s">
        <v>426</v>
      </c>
      <c r="H209" s="18">
        <f>ROUND(SUMPRODUCT(SUMIF(Final!$G$5:$G$331,CashReserveLevy!D209:F209,Final!$C$5:$C$331)),0)</f>
        <v>4868344</v>
      </c>
      <c r="I209" s="18">
        <f t="shared" si="16"/>
        <v>973669</v>
      </c>
      <c r="J209" s="18">
        <f>ROUND(SUMPRODUCT(SUMIF(Final!$G$5:$G$331,CashReserveLevy!D209:F209,Final!$E$5:$E$331)),0)</f>
        <v>1872463</v>
      </c>
      <c r="K209" s="18">
        <f t="shared" si="17"/>
        <v>0</v>
      </c>
      <c r="L209" s="18">
        <f>INDEX(ActualCRLevy_SAS!$A$2:$D$328,MATCH(CashReserveLevy!$C209,ActualCRLevy_SAS!$B$2:$B$328,0),4)</f>
        <v>0</v>
      </c>
      <c r="M209" s="19" t="str">
        <f t="shared" si="18"/>
        <v/>
      </c>
      <c r="N209" s="1" t="str">
        <f t="shared" si="19"/>
        <v/>
      </c>
      <c r="O209" s="1" t="str">
        <f t="shared" si="20"/>
        <v/>
      </c>
    </row>
    <row r="210" spans="1:15" x14ac:dyDescent="0.2">
      <c r="A210" s="17">
        <v>2023</v>
      </c>
      <c r="B210" s="17" t="s">
        <v>20</v>
      </c>
      <c r="C210" s="17" t="s">
        <v>427</v>
      </c>
      <c r="D210" s="17" t="s">
        <v>697</v>
      </c>
      <c r="E210" s="17" t="s">
        <v>697</v>
      </c>
      <c r="F210" s="17" t="s">
        <v>427</v>
      </c>
      <c r="G210" s="17" t="s">
        <v>428</v>
      </c>
      <c r="H210" s="18">
        <f>ROUND(SUMPRODUCT(SUMIF(Final!$G$5:$G$331,CashReserveLevy!D210:F210,Final!$C$5:$C$331)),0)</f>
        <v>6861484</v>
      </c>
      <c r="I210" s="18">
        <f t="shared" si="16"/>
        <v>1372297</v>
      </c>
      <c r="J210" s="18">
        <f>ROUND(SUMPRODUCT(SUMIF(Final!$G$5:$G$331,CashReserveLevy!D210:F210,Final!$E$5:$E$331)),0)</f>
        <v>3953484</v>
      </c>
      <c r="K210" s="18">
        <f t="shared" si="17"/>
        <v>0</v>
      </c>
      <c r="L210" s="18">
        <f>INDEX(ActualCRLevy_SAS!$A$2:$D$328,MATCH(CashReserveLevy!$C210,ActualCRLevy_SAS!$B$2:$B$328,0),4)</f>
        <v>0</v>
      </c>
      <c r="M210" s="19" t="str">
        <f t="shared" si="18"/>
        <v/>
      </c>
      <c r="N210" s="1" t="str">
        <f t="shared" si="19"/>
        <v/>
      </c>
      <c r="O210" s="1" t="str">
        <f t="shared" si="20"/>
        <v/>
      </c>
    </row>
    <row r="211" spans="1:15" x14ac:dyDescent="0.2">
      <c r="A211" s="17">
        <v>2023</v>
      </c>
      <c r="B211" s="17" t="s">
        <v>17</v>
      </c>
      <c r="C211" s="17" t="s">
        <v>429</v>
      </c>
      <c r="D211" s="17" t="s">
        <v>697</v>
      </c>
      <c r="E211" s="17" t="s">
        <v>697</v>
      </c>
      <c r="F211" s="17" t="s">
        <v>429</v>
      </c>
      <c r="G211" s="17" t="s">
        <v>430</v>
      </c>
      <c r="H211" s="18">
        <f>ROUND(SUMPRODUCT(SUMIF(Final!$G$5:$G$331,CashReserveLevy!D211:F211,Final!$C$5:$C$331)),0)</f>
        <v>6740545</v>
      </c>
      <c r="I211" s="18">
        <f t="shared" si="16"/>
        <v>1348109</v>
      </c>
      <c r="J211" s="18">
        <f>ROUND(SUMPRODUCT(SUMIF(Final!$G$5:$G$331,CashReserveLevy!D211:F211,Final!$E$5:$E$331)),0)</f>
        <v>1899255</v>
      </c>
      <c r="K211" s="18">
        <f t="shared" si="17"/>
        <v>0</v>
      </c>
      <c r="L211" s="18">
        <f>INDEX(ActualCRLevy_SAS!$A$2:$D$328,MATCH(CashReserveLevy!$C211,ActualCRLevy_SAS!$B$2:$B$328,0),4)</f>
        <v>0</v>
      </c>
      <c r="M211" s="19" t="str">
        <f t="shared" si="18"/>
        <v/>
      </c>
      <c r="N211" s="1" t="str">
        <f t="shared" si="19"/>
        <v/>
      </c>
      <c r="O211" s="1" t="str">
        <f t="shared" si="20"/>
        <v/>
      </c>
    </row>
    <row r="212" spans="1:15" x14ac:dyDescent="0.2">
      <c r="A212" s="17">
        <v>2023</v>
      </c>
      <c r="B212" s="17" t="s">
        <v>0</v>
      </c>
      <c r="C212" s="17" t="s">
        <v>431</v>
      </c>
      <c r="D212" s="17" t="s">
        <v>697</v>
      </c>
      <c r="E212" s="17" t="s">
        <v>697</v>
      </c>
      <c r="F212" s="17" t="s">
        <v>431</v>
      </c>
      <c r="G212" s="17" t="s">
        <v>432</v>
      </c>
      <c r="H212" s="18">
        <f>ROUND(SUMPRODUCT(SUMIF(Final!$G$5:$G$331,CashReserveLevy!D212:F212,Final!$C$5:$C$331)),0)</f>
        <v>21516259</v>
      </c>
      <c r="I212" s="18">
        <f t="shared" si="16"/>
        <v>4303252</v>
      </c>
      <c r="J212" s="18">
        <f>ROUND(SUMPRODUCT(SUMIF(Final!$G$5:$G$331,CashReserveLevy!D212:F212,Final!$E$5:$E$331)),0)</f>
        <v>1607022</v>
      </c>
      <c r="K212" s="18">
        <f t="shared" si="17"/>
        <v>2696230</v>
      </c>
      <c r="L212" s="18">
        <f>INDEX(ActualCRLevy_SAS!$A$2:$D$328,MATCH(CashReserveLevy!$C212,ActualCRLevy_SAS!$B$2:$B$328,0),4)</f>
        <v>2223000</v>
      </c>
      <c r="M212" s="19" t="str">
        <f t="shared" si="18"/>
        <v/>
      </c>
      <c r="N212" s="1" t="str">
        <f t="shared" si="19"/>
        <v/>
      </c>
      <c r="O212" s="1" t="str">
        <f t="shared" si="20"/>
        <v/>
      </c>
    </row>
    <row r="213" spans="1:15" x14ac:dyDescent="0.2">
      <c r="A213" s="17">
        <v>2023</v>
      </c>
      <c r="B213" s="17" t="s">
        <v>37</v>
      </c>
      <c r="C213" s="17" t="s">
        <v>433</v>
      </c>
      <c r="D213" s="17" t="s">
        <v>697</v>
      </c>
      <c r="E213" s="17" t="s">
        <v>697</v>
      </c>
      <c r="F213" s="17" t="s">
        <v>433</v>
      </c>
      <c r="G213" s="17" t="s">
        <v>434</v>
      </c>
      <c r="H213" s="18">
        <f>ROUND(SUMPRODUCT(SUMIF(Final!$G$5:$G$331,CashReserveLevy!D213:F213,Final!$C$5:$C$331)),0)</f>
        <v>35191613</v>
      </c>
      <c r="I213" s="18">
        <f t="shared" si="16"/>
        <v>7038323</v>
      </c>
      <c r="J213" s="18">
        <f>ROUND(SUMPRODUCT(SUMIF(Final!$G$5:$G$331,CashReserveLevy!D213:F213,Final!$E$5:$E$331)),0)</f>
        <v>7746503</v>
      </c>
      <c r="K213" s="18">
        <f t="shared" si="17"/>
        <v>0</v>
      </c>
      <c r="L213" s="18">
        <f>INDEX(ActualCRLevy_SAS!$A$2:$D$328,MATCH(CashReserveLevy!$C213,ActualCRLevy_SAS!$B$2:$B$328,0),4)</f>
        <v>0</v>
      </c>
      <c r="M213" s="19" t="str">
        <f t="shared" si="18"/>
        <v/>
      </c>
      <c r="N213" s="1" t="str">
        <f t="shared" si="19"/>
        <v/>
      </c>
      <c r="O213" s="1" t="str">
        <f t="shared" si="20"/>
        <v/>
      </c>
    </row>
    <row r="214" spans="1:15" x14ac:dyDescent="0.2">
      <c r="A214" s="17">
        <v>2023</v>
      </c>
      <c r="B214" s="17" t="s">
        <v>5</v>
      </c>
      <c r="C214" s="17" t="s">
        <v>435</v>
      </c>
      <c r="D214" s="17" t="s">
        <v>697</v>
      </c>
      <c r="E214" s="17" t="s">
        <v>697</v>
      </c>
      <c r="F214" s="17" t="s">
        <v>435</v>
      </c>
      <c r="G214" s="17" t="s">
        <v>436</v>
      </c>
      <c r="H214" s="18">
        <f>ROUND(SUMPRODUCT(SUMIF(Final!$G$5:$G$331,CashReserveLevy!D214:F214,Final!$C$5:$C$331)),0)</f>
        <v>5798738</v>
      </c>
      <c r="I214" s="18">
        <f t="shared" si="16"/>
        <v>1159748</v>
      </c>
      <c r="J214" s="18">
        <f>ROUND(SUMPRODUCT(SUMIF(Final!$G$5:$G$331,CashReserveLevy!D214:F214,Final!$E$5:$E$331)),0)</f>
        <v>1751151</v>
      </c>
      <c r="K214" s="18">
        <f t="shared" si="17"/>
        <v>0</v>
      </c>
      <c r="L214" s="18">
        <f>INDEX(ActualCRLevy_SAS!$A$2:$D$328,MATCH(CashReserveLevy!$C214,ActualCRLevy_SAS!$B$2:$B$328,0),4)</f>
        <v>0</v>
      </c>
      <c r="M214" s="19" t="str">
        <f t="shared" si="18"/>
        <v/>
      </c>
      <c r="N214" s="1" t="str">
        <f t="shared" si="19"/>
        <v/>
      </c>
      <c r="O214" s="1" t="str">
        <f t="shared" si="20"/>
        <v/>
      </c>
    </row>
    <row r="215" spans="1:15" x14ac:dyDescent="0.2">
      <c r="A215" s="17">
        <v>2023</v>
      </c>
      <c r="B215" s="17" t="s">
        <v>14</v>
      </c>
      <c r="C215" s="17" t="s">
        <v>437</v>
      </c>
      <c r="D215" s="17" t="s">
        <v>697</v>
      </c>
      <c r="E215" s="17" t="s">
        <v>697</v>
      </c>
      <c r="F215" s="17" t="s">
        <v>437</v>
      </c>
      <c r="G215" s="17" t="s">
        <v>438</v>
      </c>
      <c r="H215" s="18">
        <f>ROUND(SUMPRODUCT(SUMIF(Final!$G$5:$G$331,CashReserveLevy!D215:F215,Final!$C$5:$C$331)),0)</f>
        <v>6308233</v>
      </c>
      <c r="I215" s="18">
        <f t="shared" si="16"/>
        <v>1261647</v>
      </c>
      <c r="J215" s="18">
        <f>ROUND(SUMPRODUCT(SUMIF(Final!$G$5:$G$331,CashReserveLevy!D215:F215,Final!$E$5:$E$331)),0)</f>
        <v>1726856</v>
      </c>
      <c r="K215" s="18">
        <f t="shared" si="17"/>
        <v>0</v>
      </c>
      <c r="L215" s="18">
        <f>INDEX(ActualCRLevy_SAS!$A$2:$D$328,MATCH(CashReserveLevy!$C215,ActualCRLevy_SAS!$B$2:$B$328,0),4)</f>
        <v>0</v>
      </c>
      <c r="M215" s="19" t="str">
        <f t="shared" si="18"/>
        <v/>
      </c>
      <c r="N215" s="1" t="str">
        <f t="shared" si="19"/>
        <v/>
      </c>
      <c r="O215" s="1" t="str">
        <f t="shared" si="20"/>
        <v/>
      </c>
    </row>
    <row r="216" spans="1:15" x14ac:dyDescent="0.2">
      <c r="A216" s="17">
        <v>2023</v>
      </c>
      <c r="B216" s="17" t="s">
        <v>37</v>
      </c>
      <c r="C216" s="17" t="s">
        <v>439</v>
      </c>
      <c r="D216" s="17" t="s">
        <v>697</v>
      </c>
      <c r="E216" s="17" t="s">
        <v>697</v>
      </c>
      <c r="F216" s="17" t="s">
        <v>439</v>
      </c>
      <c r="G216" s="17" t="s">
        <v>440</v>
      </c>
      <c r="H216" s="18">
        <f>ROUND(SUMPRODUCT(SUMIF(Final!$G$5:$G$331,CashReserveLevy!D216:F216,Final!$C$5:$C$331)),0)</f>
        <v>10182211</v>
      </c>
      <c r="I216" s="18">
        <f t="shared" si="16"/>
        <v>2036442</v>
      </c>
      <c r="J216" s="18">
        <f>ROUND(SUMPRODUCT(SUMIF(Final!$G$5:$G$331,CashReserveLevy!D216:F216,Final!$E$5:$E$331)),0)</f>
        <v>342068</v>
      </c>
      <c r="K216" s="18">
        <f t="shared" si="17"/>
        <v>1694374</v>
      </c>
      <c r="L216" s="18">
        <f>INDEX(ActualCRLevy_SAS!$A$2:$D$328,MATCH(CashReserveLevy!$C216,ActualCRLevy_SAS!$B$2:$B$328,0),4)</f>
        <v>735000</v>
      </c>
      <c r="M216" s="19" t="str">
        <f t="shared" si="18"/>
        <v/>
      </c>
      <c r="N216" s="1" t="str">
        <f t="shared" si="19"/>
        <v/>
      </c>
      <c r="O216" s="1" t="str">
        <f t="shared" si="20"/>
        <v/>
      </c>
    </row>
    <row r="217" spans="1:15" x14ac:dyDescent="0.2">
      <c r="A217" s="17">
        <v>2023</v>
      </c>
      <c r="B217" s="17" t="s">
        <v>5</v>
      </c>
      <c r="C217" s="17" t="s">
        <v>442</v>
      </c>
      <c r="D217" s="17" t="s">
        <v>697</v>
      </c>
      <c r="E217" s="17" t="s">
        <v>697</v>
      </c>
      <c r="F217" s="17" t="s">
        <v>442</v>
      </c>
      <c r="G217" s="17" t="s">
        <v>443</v>
      </c>
      <c r="H217" s="18">
        <f>ROUND(SUMPRODUCT(SUMIF(Final!$G$5:$G$331,CashReserveLevy!D217:F217,Final!$C$5:$C$331)),0)</f>
        <v>6748963</v>
      </c>
      <c r="I217" s="18">
        <f t="shared" si="16"/>
        <v>1349793</v>
      </c>
      <c r="J217" s="18">
        <f>ROUND(SUMPRODUCT(SUMIF(Final!$G$5:$G$331,CashReserveLevy!D217:F217,Final!$E$5:$E$331)),0)</f>
        <v>1656811</v>
      </c>
      <c r="K217" s="18">
        <f t="shared" si="17"/>
        <v>0</v>
      </c>
      <c r="L217" s="18">
        <f>INDEX(ActualCRLevy_SAS!$A$2:$D$328,MATCH(CashReserveLevy!$C217,ActualCRLevy_SAS!$B$2:$B$328,0),4)</f>
        <v>0</v>
      </c>
      <c r="M217" s="19" t="str">
        <f t="shared" si="18"/>
        <v/>
      </c>
      <c r="N217" s="1" t="str">
        <f t="shared" si="19"/>
        <v/>
      </c>
      <c r="O217" s="1" t="str">
        <f t="shared" si="20"/>
        <v/>
      </c>
    </row>
    <row r="218" spans="1:15" x14ac:dyDescent="0.2">
      <c r="A218" s="17">
        <v>2023</v>
      </c>
      <c r="B218" s="17" t="s">
        <v>0</v>
      </c>
      <c r="C218" s="17" t="s">
        <v>444</v>
      </c>
      <c r="D218" s="17" t="s">
        <v>697</v>
      </c>
      <c r="E218" s="17" t="s">
        <v>697</v>
      </c>
      <c r="F218" s="17" t="s">
        <v>444</v>
      </c>
      <c r="G218" s="17" t="s">
        <v>445</v>
      </c>
      <c r="H218" s="18">
        <f>ROUND(SUMPRODUCT(SUMIF(Final!$G$5:$G$331,CashReserveLevy!D218:F218,Final!$C$5:$C$331)),0)</f>
        <v>34621742</v>
      </c>
      <c r="I218" s="18">
        <f t="shared" si="16"/>
        <v>6924348</v>
      </c>
      <c r="J218" s="18">
        <f>ROUND(SUMPRODUCT(SUMIF(Final!$G$5:$G$331,CashReserveLevy!D218:F218,Final!$E$5:$E$331)),0)</f>
        <v>7240604</v>
      </c>
      <c r="K218" s="18">
        <f t="shared" si="17"/>
        <v>0</v>
      </c>
      <c r="L218" s="18">
        <f>INDEX(ActualCRLevy_SAS!$A$2:$D$328,MATCH(CashReserveLevy!$C218,ActualCRLevy_SAS!$B$2:$B$328,0),4)</f>
        <v>0</v>
      </c>
      <c r="M218" s="19" t="str">
        <f t="shared" si="18"/>
        <v/>
      </c>
      <c r="N218" s="1" t="str">
        <f t="shared" si="19"/>
        <v/>
      </c>
      <c r="O218" s="1" t="str">
        <f t="shared" si="20"/>
        <v/>
      </c>
    </row>
    <row r="219" spans="1:15" x14ac:dyDescent="0.2">
      <c r="A219" s="17">
        <v>2023</v>
      </c>
      <c r="B219" s="17" t="s">
        <v>11</v>
      </c>
      <c r="C219" s="17" t="s">
        <v>446</v>
      </c>
      <c r="D219" s="17" t="s">
        <v>697</v>
      </c>
      <c r="E219" s="17" t="s">
        <v>697</v>
      </c>
      <c r="F219" s="17" t="s">
        <v>446</v>
      </c>
      <c r="G219" s="17" t="s">
        <v>447</v>
      </c>
      <c r="H219" s="18">
        <f>ROUND(SUMPRODUCT(SUMIF(Final!$G$5:$G$331,CashReserveLevy!D219:F219,Final!$C$5:$C$331)),0)</f>
        <v>11473441</v>
      </c>
      <c r="I219" s="18">
        <f t="shared" si="16"/>
        <v>2294688</v>
      </c>
      <c r="J219" s="18">
        <f>ROUND(SUMPRODUCT(SUMIF(Final!$G$5:$G$331,CashReserveLevy!D219:F219,Final!$E$5:$E$331)),0)</f>
        <v>2802484</v>
      </c>
      <c r="K219" s="18">
        <f t="shared" si="17"/>
        <v>0</v>
      </c>
      <c r="L219" s="18">
        <f>INDEX(ActualCRLevy_SAS!$A$2:$D$328,MATCH(CashReserveLevy!$C219,ActualCRLevy_SAS!$B$2:$B$328,0),4)</f>
        <v>0</v>
      </c>
      <c r="M219" s="19" t="str">
        <f t="shared" si="18"/>
        <v/>
      </c>
      <c r="N219" s="1" t="str">
        <f t="shared" si="19"/>
        <v/>
      </c>
      <c r="O219" s="1" t="str">
        <f t="shared" si="20"/>
        <v/>
      </c>
    </row>
    <row r="220" spans="1:15" x14ac:dyDescent="0.2">
      <c r="A220" s="17">
        <v>2023</v>
      </c>
      <c r="B220" s="17" t="s">
        <v>28</v>
      </c>
      <c r="C220" s="17" t="s">
        <v>448</v>
      </c>
      <c r="D220" s="17" t="s">
        <v>697</v>
      </c>
      <c r="E220" s="17" t="s">
        <v>697</v>
      </c>
      <c r="F220" s="17" t="s">
        <v>448</v>
      </c>
      <c r="G220" s="17" t="s">
        <v>449</v>
      </c>
      <c r="H220" s="18">
        <f>ROUND(SUMPRODUCT(SUMIF(Final!$G$5:$G$331,CashReserveLevy!D220:F220,Final!$C$5:$C$331)),0)</f>
        <v>17585047</v>
      </c>
      <c r="I220" s="18">
        <f t="shared" si="16"/>
        <v>3517009</v>
      </c>
      <c r="J220" s="18">
        <f>ROUND(SUMPRODUCT(SUMIF(Final!$G$5:$G$331,CashReserveLevy!D220:F220,Final!$E$5:$E$331)),0)</f>
        <v>2103865</v>
      </c>
      <c r="K220" s="18">
        <f t="shared" si="17"/>
        <v>1413144</v>
      </c>
      <c r="L220" s="18">
        <f>INDEX(ActualCRLevy_SAS!$A$2:$D$328,MATCH(CashReserveLevy!$C220,ActualCRLevy_SAS!$B$2:$B$328,0),4)</f>
        <v>775000</v>
      </c>
      <c r="M220" s="19" t="str">
        <f t="shared" si="18"/>
        <v/>
      </c>
      <c r="N220" s="1" t="str">
        <f t="shared" si="19"/>
        <v/>
      </c>
      <c r="O220" s="1" t="str">
        <f t="shared" si="20"/>
        <v/>
      </c>
    </row>
    <row r="221" spans="1:15" x14ac:dyDescent="0.2">
      <c r="A221" s="17">
        <v>2023</v>
      </c>
      <c r="B221" s="17" t="s">
        <v>0</v>
      </c>
      <c r="C221" s="17" t="s">
        <v>450</v>
      </c>
      <c r="D221" s="17" t="s">
        <v>697</v>
      </c>
      <c r="E221" s="17" t="s">
        <v>697</v>
      </c>
      <c r="F221" s="17" t="s">
        <v>450</v>
      </c>
      <c r="G221" s="17" t="s">
        <v>451</v>
      </c>
      <c r="H221" s="18">
        <f>ROUND(SUMPRODUCT(SUMIF(Final!$G$5:$G$331,CashReserveLevy!D221:F221,Final!$C$5:$C$331)),0)</f>
        <v>8009813</v>
      </c>
      <c r="I221" s="18">
        <f t="shared" si="16"/>
        <v>1601963</v>
      </c>
      <c r="J221" s="18">
        <f>ROUND(SUMPRODUCT(SUMIF(Final!$G$5:$G$331,CashReserveLevy!D221:F221,Final!$E$5:$E$331)),0)</f>
        <v>2945642</v>
      </c>
      <c r="K221" s="18">
        <f t="shared" si="17"/>
        <v>0</v>
      </c>
      <c r="L221" s="18">
        <f>INDEX(ActualCRLevy_SAS!$A$2:$D$328,MATCH(CashReserveLevy!$C221,ActualCRLevy_SAS!$B$2:$B$328,0),4)</f>
        <v>0</v>
      </c>
      <c r="M221" s="19" t="str">
        <f t="shared" si="18"/>
        <v/>
      </c>
      <c r="N221" s="1" t="str">
        <f t="shared" si="19"/>
        <v/>
      </c>
      <c r="O221" s="1" t="str">
        <f t="shared" si="20"/>
        <v/>
      </c>
    </row>
    <row r="222" spans="1:15" x14ac:dyDescent="0.2">
      <c r="A222" s="17">
        <v>2023</v>
      </c>
      <c r="B222" s="17" t="s">
        <v>14</v>
      </c>
      <c r="C222" s="17" t="s">
        <v>452</v>
      </c>
      <c r="D222" s="17" t="s">
        <v>697</v>
      </c>
      <c r="E222" s="17" t="s">
        <v>697</v>
      </c>
      <c r="F222" s="17" t="s">
        <v>452</v>
      </c>
      <c r="G222" s="17" t="s">
        <v>453</v>
      </c>
      <c r="H222" s="18">
        <f>ROUND(SUMPRODUCT(SUMIF(Final!$G$5:$G$331,CashReserveLevy!D222:F222,Final!$C$5:$C$331)),0)</f>
        <v>13727055</v>
      </c>
      <c r="I222" s="18">
        <f t="shared" si="16"/>
        <v>2745411</v>
      </c>
      <c r="J222" s="18">
        <f>ROUND(SUMPRODUCT(SUMIF(Final!$G$5:$G$331,CashReserveLevy!D222:F222,Final!$E$5:$E$331)),0)</f>
        <v>3567324</v>
      </c>
      <c r="K222" s="18">
        <f t="shared" si="17"/>
        <v>0</v>
      </c>
      <c r="L222" s="18">
        <f>INDEX(ActualCRLevy_SAS!$A$2:$D$328,MATCH(CashReserveLevy!$C222,ActualCRLevy_SAS!$B$2:$B$328,0),4)</f>
        <v>0</v>
      </c>
      <c r="M222" s="19" t="str">
        <f t="shared" si="18"/>
        <v/>
      </c>
      <c r="N222" s="1" t="str">
        <f t="shared" si="19"/>
        <v/>
      </c>
      <c r="O222" s="1" t="str">
        <f t="shared" si="20"/>
        <v/>
      </c>
    </row>
    <row r="223" spans="1:15" x14ac:dyDescent="0.2">
      <c r="A223" s="17">
        <v>2023</v>
      </c>
      <c r="B223" s="17" t="s">
        <v>20</v>
      </c>
      <c r="C223" s="17" t="s">
        <v>454</v>
      </c>
      <c r="D223" s="17" t="s">
        <v>697</v>
      </c>
      <c r="E223" s="17" t="s">
        <v>697</v>
      </c>
      <c r="F223" s="17" t="s">
        <v>454</v>
      </c>
      <c r="G223" s="17" t="s">
        <v>455</v>
      </c>
      <c r="H223" s="18">
        <f>ROUND(SUMPRODUCT(SUMIF(Final!$G$5:$G$331,CashReserveLevy!D223:F223,Final!$C$5:$C$331)),0)</f>
        <v>2440773</v>
      </c>
      <c r="I223" s="18">
        <f t="shared" si="16"/>
        <v>488155</v>
      </c>
      <c r="J223" s="18">
        <f>ROUND(SUMPRODUCT(SUMIF(Final!$G$5:$G$331,CashReserveLevy!D223:F223,Final!$E$5:$E$331)),0)</f>
        <v>2244222</v>
      </c>
      <c r="K223" s="18">
        <f t="shared" si="17"/>
        <v>0</v>
      </c>
      <c r="L223" s="18">
        <f>INDEX(ActualCRLevy_SAS!$A$2:$D$328,MATCH(CashReserveLevy!$C223,ActualCRLevy_SAS!$B$2:$B$328,0),4)</f>
        <v>0</v>
      </c>
      <c r="M223" s="19" t="str">
        <f t="shared" si="18"/>
        <v/>
      </c>
      <c r="N223" s="1" t="str">
        <f t="shared" si="19"/>
        <v/>
      </c>
      <c r="O223" s="1" t="str">
        <f t="shared" si="20"/>
        <v/>
      </c>
    </row>
    <row r="224" spans="1:15" x14ac:dyDescent="0.2">
      <c r="A224" s="17">
        <v>2023</v>
      </c>
      <c r="B224" s="17" t="s">
        <v>8</v>
      </c>
      <c r="C224" s="17" t="s">
        <v>456</v>
      </c>
      <c r="D224" s="17" t="s">
        <v>697</v>
      </c>
      <c r="E224" s="17" t="s">
        <v>697</v>
      </c>
      <c r="F224" s="17" t="s">
        <v>456</v>
      </c>
      <c r="G224" s="17" t="s">
        <v>457</v>
      </c>
      <c r="H224" s="18">
        <f>ROUND(SUMPRODUCT(SUMIF(Final!$G$5:$G$331,CashReserveLevy!D224:F224,Final!$C$5:$C$331)),0)</f>
        <v>3132935</v>
      </c>
      <c r="I224" s="18">
        <f t="shared" si="16"/>
        <v>626587</v>
      </c>
      <c r="J224" s="18">
        <f>ROUND(SUMPRODUCT(SUMIF(Final!$G$5:$G$331,CashReserveLevy!D224:F224,Final!$E$5:$E$331)),0)</f>
        <v>163853</v>
      </c>
      <c r="K224" s="18">
        <f t="shared" si="17"/>
        <v>462734</v>
      </c>
      <c r="L224" s="18">
        <f>INDEX(ActualCRLevy_SAS!$A$2:$D$328,MATCH(CashReserveLevy!$C224,ActualCRLevy_SAS!$B$2:$B$328,0),4)</f>
        <v>462734</v>
      </c>
      <c r="M224" s="19" t="str">
        <f t="shared" si="18"/>
        <v>Max</v>
      </c>
      <c r="N224" s="1" t="str">
        <f t="shared" si="19"/>
        <v/>
      </c>
      <c r="O224" s="1" t="str">
        <f t="shared" si="20"/>
        <v/>
      </c>
    </row>
    <row r="225" spans="1:15" x14ac:dyDescent="0.2">
      <c r="A225" s="17">
        <v>2023</v>
      </c>
      <c r="B225" s="17" t="s">
        <v>5</v>
      </c>
      <c r="C225" s="17" t="s">
        <v>458</v>
      </c>
      <c r="D225" s="17" t="s">
        <v>697</v>
      </c>
      <c r="E225" s="17" t="s">
        <v>697</v>
      </c>
      <c r="F225" s="17" t="s">
        <v>458</v>
      </c>
      <c r="G225" s="17" t="s">
        <v>459</v>
      </c>
      <c r="H225" s="18">
        <f>ROUND(SUMPRODUCT(SUMIF(Final!$G$5:$G$331,CashReserveLevy!D225:F225,Final!$C$5:$C$331)),0)</f>
        <v>10976491</v>
      </c>
      <c r="I225" s="18">
        <f t="shared" si="16"/>
        <v>2195298</v>
      </c>
      <c r="J225" s="18">
        <f>ROUND(SUMPRODUCT(SUMIF(Final!$G$5:$G$331,CashReserveLevy!D225:F225,Final!$E$5:$E$331)),0)</f>
        <v>2704125</v>
      </c>
      <c r="K225" s="18">
        <f t="shared" si="17"/>
        <v>0</v>
      </c>
      <c r="L225" s="18">
        <f>INDEX(ActualCRLevy_SAS!$A$2:$D$328,MATCH(CashReserveLevy!$C225,ActualCRLevy_SAS!$B$2:$B$328,0),4)</f>
        <v>0</v>
      </c>
      <c r="M225" s="19" t="str">
        <f t="shared" si="18"/>
        <v/>
      </c>
      <c r="N225" s="1" t="str">
        <f t="shared" si="19"/>
        <v/>
      </c>
      <c r="O225" s="1" t="str">
        <f t="shared" si="20"/>
        <v/>
      </c>
    </row>
    <row r="226" spans="1:15" x14ac:dyDescent="0.2">
      <c r="A226" s="17">
        <v>2023</v>
      </c>
      <c r="B226" s="17" t="s">
        <v>17</v>
      </c>
      <c r="C226" s="17" t="s">
        <v>460</v>
      </c>
      <c r="D226" s="17" t="s">
        <v>697</v>
      </c>
      <c r="E226" s="17" t="s">
        <v>697</v>
      </c>
      <c r="F226" s="17" t="s">
        <v>460</v>
      </c>
      <c r="G226" s="17" t="s">
        <v>461</v>
      </c>
      <c r="H226" s="18">
        <f>ROUND(SUMPRODUCT(SUMIF(Final!$G$5:$G$331,CashReserveLevy!D226:F226,Final!$C$5:$C$331)),0)</f>
        <v>27321004</v>
      </c>
      <c r="I226" s="18">
        <f t="shared" si="16"/>
        <v>5464201</v>
      </c>
      <c r="J226" s="18">
        <f>ROUND(SUMPRODUCT(SUMIF(Final!$G$5:$G$331,CashReserveLevy!D226:F226,Final!$E$5:$E$331)),0)</f>
        <v>4092036</v>
      </c>
      <c r="K226" s="18">
        <f t="shared" si="17"/>
        <v>1372165</v>
      </c>
      <c r="L226" s="18">
        <f>INDEX(ActualCRLevy_SAS!$A$2:$D$328,MATCH(CashReserveLevy!$C226,ActualCRLevy_SAS!$B$2:$B$328,0),4)</f>
        <v>438328</v>
      </c>
      <c r="M226" s="19" t="str">
        <f t="shared" si="18"/>
        <v/>
      </c>
      <c r="N226" s="1" t="str">
        <f t="shared" si="19"/>
        <v/>
      </c>
      <c r="O226" s="1" t="str">
        <f t="shared" si="20"/>
        <v/>
      </c>
    </row>
    <row r="227" spans="1:15" x14ac:dyDescent="0.2">
      <c r="A227" s="17">
        <v>2023</v>
      </c>
      <c r="B227" s="17" t="s">
        <v>17</v>
      </c>
      <c r="C227" s="17" t="s">
        <v>462</v>
      </c>
      <c r="D227" s="17" t="s">
        <v>697</v>
      </c>
      <c r="E227" s="17" t="s">
        <v>697</v>
      </c>
      <c r="F227" s="17" t="s">
        <v>462</v>
      </c>
      <c r="G227" s="17" t="s">
        <v>463</v>
      </c>
      <c r="H227" s="18">
        <f>ROUND(SUMPRODUCT(SUMIF(Final!$G$5:$G$331,CashReserveLevy!D227:F227,Final!$C$5:$C$331)),0)</f>
        <v>54878586</v>
      </c>
      <c r="I227" s="18">
        <f t="shared" si="16"/>
        <v>10975717</v>
      </c>
      <c r="J227" s="18">
        <f>ROUND(SUMPRODUCT(SUMIF(Final!$G$5:$G$331,CashReserveLevy!D227:F227,Final!$E$5:$E$331)),0)</f>
        <v>13574424</v>
      </c>
      <c r="K227" s="18">
        <f t="shared" si="17"/>
        <v>0</v>
      </c>
      <c r="L227" s="18">
        <f>INDEX(ActualCRLevy_SAS!$A$2:$D$328,MATCH(CashReserveLevy!$C227,ActualCRLevy_SAS!$B$2:$B$328,0),4)</f>
        <v>0</v>
      </c>
      <c r="M227" s="19" t="str">
        <f t="shared" si="18"/>
        <v/>
      </c>
      <c r="N227" s="1" t="str">
        <f t="shared" si="19"/>
        <v/>
      </c>
      <c r="O227" s="1" t="str">
        <f t="shared" si="20"/>
        <v/>
      </c>
    </row>
    <row r="228" spans="1:15" x14ac:dyDescent="0.2">
      <c r="A228" s="17">
        <v>2023</v>
      </c>
      <c r="B228" s="17" t="s">
        <v>0</v>
      </c>
      <c r="C228" s="17" t="s">
        <v>464</v>
      </c>
      <c r="D228" s="17" t="s">
        <v>697</v>
      </c>
      <c r="E228" s="17" t="s">
        <v>697</v>
      </c>
      <c r="F228" s="17" t="s">
        <v>464</v>
      </c>
      <c r="G228" s="17" t="s">
        <v>465</v>
      </c>
      <c r="H228" s="18">
        <f>ROUND(SUMPRODUCT(SUMIF(Final!$G$5:$G$331,CashReserveLevy!D228:F228,Final!$C$5:$C$331)),0)</f>
        <v>8627473</v>
      </c>
      <c r="I228" s="18">
        <f t="shared" si="16"/>
        <v>1725495</v>
      </c>
      <c r="J228" s="18">
        <f>ROUND(SUMPRODUCT(SUMIF(Final!$G$5:$G$331,CashReserveLevy!D228:F228,Final!$E$5:$E$331)),0)</f>
        <v>1955948</v>
      </c>
      <c r="K228" s="18">
        <f t="shared" si="17"/>
        <v>0</v>
      </c>
      <c r="L228" s="18">
        <f>INDEX(ActualCRLevy_SAS!$A$2:$D$328,MATCH(CashReserveLevy!$C228,ActualCRLevy_SAS!$B$2:$B$328,0),4)</f>
        <v>0</v>
      </c>
      <c r="M228" s="19" t="str">
        <f t="shared" si="18"/>
        <v/>
      </c>
      <c r="N228" s="1" t="str">
        <f t="shared" si="19"/>
        <v/>
      </c>
      <c r="O228" s="1" t="str">
        <f t="shared" si="20"/>
        <v/>
      </c>
    </row>
    <row r="229" spans="1:15" x14ac:dyDescent="0.2">
      <c r="A229" s="17">
        <v>2023</v>
      </c>
      <c r="B229" s="17" t="s">
        <v>14</v>
      </c>
      <c r="C229" s="17" t="s">
        <v>466</v>
      </c>
      <c r="D229" s="17" t="s">
        <v>697</v>
      </c>
      <c r="E229" s="17" t="s">
        <v>697</v>
      </c>
      <c r="F229" s="17" t="s">
        <v>466</v>
      </c>
      <c r="G229" s="17" t="s">
        <v>467</v>
      </c>
      <c r="H229" s="18">
        <f>ROUND(SUMPRODUCT(SUMIF(Final!$G$5:$G$331,CashReserveLevy!D229:F229,Final!$C$5:$C$331)),0)</f>
        <v>3126800</v>
      </c>
      <c r="I229" s="18">
        <f t="shared" si="16"/>
        <v>625360</v>
      </c>
      <c r="J229" s="18">
        <f>ROUND(SUMPRODUCT(SUMIF(Final!$G$5:$G$331,CashReserveLevy!D229:F229,Final!$E$5:$E$331)),0)</f>
        <v>841527</v>
      </c>
      <c r="K229" s="18">
        <f t="shared" si="17"/>
        <v>0</v>
      </c>
      <c r="L229" s="18">
        <f>INDEX(ActualCRLevy_SAS!$A$2:$D$328,MATCH(CashReserveLevy!$C229,ActualCRLevy_SAS!$B$2:$B$328,0),4)</f>
        <v>0</v>
      </c>
      <c r="M229" s="19" t="str">
        <f t="shared" si="18"/>
        <v/>
      </c>
      <c r="N229" s="1" t="str">
        <f t="shared" si="19"/>
        <v/>
      </c>
      <c r="O229" s="1" t="str">
        <f t="shared" si="20"/>
        <v/>
      </c>
    </row>
    <row r="230" spans="1:15" x14ac:dyDescent="0.2">
      <c r="A230" s="17">
        <v>2023</v>
      </c>
      <c r="B230" s="17" t="s">
        <v>0</v>
      </c>
      <c r="C230" s="17" t="s">
        <v>468</v>
      </c>
      <c r="D230" s="17" t="s">
        <v>697</v>
      </c>
      <c r="E230" s="17" t="s">
        <v>697</v>
      </c>
      <c r="F230" s="17" t="s">
        <v>469</v>
      </c>
      <c r="G230" s="17" t="s">
        <v>470</v>
      </c>
      <c r="H230" s="18">
        <f>ROUND(SUMPRODUCT(SUMIF(Final!$G$5:$G$331,CashReserveLevy!D230:F230,Final!$C$5:$C$331)),0)</f>
        <v>11847289</v>
      </c>
      <c r="I230" s="18">
        <f t="shared" si="16"/>
        <v>2369458</v>
      </c>
      <c r="J230" s="18">
        <f>ROUND(SUMPRODUCT(SUMIF(Final!$G$5:$G$331,CashReserveLevy!D230:F230,Final!$E$5:$E$331)),0)</f>
        <v>3225625</v>
      </c>
      <c r="K230" s="18">
        <f t="shared" si="17"/>
        <v>0</v>
      </c>
      <c r="L230" s="18">
        <f>INDEX(ActualCRLevy_SAS!$A$2:$D$328,MATCH(CashReserveLevy!$C230,ActualCRLevy_SAS!$B$2:$B$328,0),4)</f>
        <v>0</v>
      </c>
      <c r="M230" s="19" t="str">
        <f t="shared" si="18"/>
        <v/>
      </c>
      <c r="N230" s="1" t="str">
        <f t="shared" si="19"/>
        <v/>
      </c>
      <c r="O230" s="1" t="str">
        <f t="shared" si="20"/>
        <v/>
      </c>
    </row>
    <row r="231" spans="1:15" x14ac:dyDescent="0.2">
      <c r="A231" s="17">
        <v>2023</v>
      </c>
      <c r="B231" s="17" t="s">
        <v>17</v>
      </c>
      <c r="C231" s="17" t="s">
        <v>471</v>
      </c>
      <c r="D231" s="17" t="s">
        <v>697</v>
      </c>
      <c r="E231" s="17" t="s">
        <v>697</v>
      </c>
      <c r="F231" s="17" t="s">
        <v>471</v>
      </c>
      <c r="G231" s="17" t="s">
        <v>472</v>
      </c>
      <c r="H231" s="18">
        <f>ROUND(SUMPRODUCT(SUMIF(Final!$G$5:$G$331,CashReserveLevy!D231:F231,Final!$C$5:$C$331)),0)</f>
        <v>8877571</v>
      </c>
      <c r="I231" s="18">
        <f t="shared" si="16"/>
        <v>1775514</v>
      </c>
      <c r="J231" s="18">
        <f>ROUND(SUMPRODUCT(SUMIF(Final!$G$5:$G$331,CashReserveLevy!D231:F231,Final!$E$5:$E$331)),0)</f>
        <v>1668190</v>
      </c>
      <c r="K231" s="18">
        <f t="shared" si="17"/>
        <v>107324</v>
      </c>
      <c r="L231" s="18">
        <f>INDEX(ActualCRLevy_SAS!$A$2:$D$328,MATCH(CashReserveLevy!$C231,ActualCRLevy_SAS!$B$2:$B$328,0),4)</f>
        <v>107324</v>
      </c>
      <c r="M231" s="19" t="str">
        <f t="shared" si="18"/>
        <v>Max</v>
      </c>
      <c r="N231" s="1" t="str">
        <f t="shared" si="19"/>
        <v/>
      </c>
      <c r="O231" s="1" t="str">
        <f t="shared" si="20"/>
        <v/>
      </c>
    </row>
    <row r="232" spans="1:15" x14ac:dyDescent="0.2">
      <c r="A232" s="17">
        <v>2023</v>
      </c>
      <c r="B232" s="17" t="s">
        <v>0</v>
      </c>
      <c r="C232" s="17" t="s">
        <v>473</v>
      </c>
      <c r="D232" s="17" t="s">
        <v>697</v>
      </c>
      <c r="E232" s="17" t="s">
        <v>697</v>
      </c>
      <c r="F232" s="17" t="s">
        <v>473</v>
      </c>
      <c r="G232" s="17" t="s">
        <v>474</v>
      </c>
      <c r="H232" s="18">
        <f>ROUND(SUMPRODUCT(SUMIF(Final!$G$5:$G$331,CashReserveLevy!D232:F232,Final!$C$5:$C$331)),0)</f>
        <v>27746911</v>
      </c>
      <c r="I232" s="18">
        <f t="shared" si="16"/>
        <v>5549382</v>
      </c>
      <c r="J232" s="18">
        <f>ROUND(SUMPRODUCT(SUMIF(Final!$G$5:$G$331,CashReserveLevy!D232:F232,Final!$E$5:$E$331)),0)</f>
        <v>4869995</v>
      </c>
      <c r="K232" s="18">
        <f t="shared" si="17"/>
        <v>679387</v>
      </c>
      <c r="L232" s="18">
        <f>INDEX(ActualCRLevy_SAS!$A$2:$D$328,MATCH(CashReserveLevy!$C232,ActualCRLevy_SAS!$B$2:$B$328,0),4)</f>
        <v>679387</v>
      </c>
      <c r="M232" s="19" t="str">
        <f t="shared" si="18"/>
        <v>Max</v>
      </c>
      <c r="N232" s="1" t="str">
        <f t="shared" si="19"/>
        <v/>
      </c>
      <c r="O232" s="1" t="str">
        <f t="shared" si="20"/>
        <v/>
      </c>
    </row>
    <row r="233" spans="1:15" x14ac:dyDescent="0.2">
      <c r="A233" s="17">
        <v>2023</v>
      </c>
      <c r="B233" s="17" t="s">
        <v>0</v>
      </c>
      <c r="C233" s="17" t="s">
        <v>475</v>
      </c>
      <c r="D233" s="17" t="s">
        <v>697</v>
      </c>
      <c r="E233" s="17" t="s">
        <v>697</v>
      </c>
      <c r="F233" s="17" t="s">
        <v>475</v>
      </c>
      <c r="G233" s="17" t="s">
        <v>476</v>
      </c>
      <c r="H233" s="18">
        <f>ROUND(SUMPRODUCT(SUMIF(Final!$G$5:$G$331,CashReserveLevy!D233:F233,Final!$C$5:$C$331)),0)</f>
        <v>23769278</v>
      </c>
      <c r="I233" s="18">
        <f t="shared" si="16"/>
        <v>4753856</v>
      </c>
      <c r="J233" s="18">
        <f>ROUND(SUMPRODUCT(SUMIF(Final!$G$5:$G$331,CashReserveLevy!D233:F233,Final!$E$5:$E$331)),0)</f>
        <v>3917424</v>
      </c>
      <c r="K233" s="18">
        <f t="shared" si="17"/>
        <v>836432</v>
      </c>
      <c r="L233" s="18">
        <f>INDEX(ActualCRLevy_SAS!$A$2:$D$328,MATCH(CashReserveLevy!$C233,ActualCRLevy_SAS!$B$2:$B$328,0),4)</f>
        <v>836432</v>
      </c>
      <c r="M233" s="19" t="str">
        <f t="shared" si="18"/>
        <v>Max</v>
      </c>
      <c r="N233" s="1" t="str">
        <f t="shared" si="19"/>
        <v/>
      </c>
      <c r="O233" s="1" t="str">
        <f t="shared" si="20"/>
        <v/>
      </c>
    </row>
    <row r="234" spans="1:15" x14ac:dyDescent="0.2">
      <c r="A234" s="17">
        <v>2023</v>
      </c>
      <c r="B234" s="17" t="s">
        <v>37</v>
      </c>
      <c r="C234" s="17" t="s">
        <v>477</v>
      </c>
      <c r="D234" s="17" t="s">
        <v>697</v>
      </c>
      <c r="E234" s="17" t="s">
        <v>697</v>
      </c>
      <c r="F234" s="17" t="s">
        <v>477</v>
      </c>
      <c r="G234" s="17" t="s">
        <v>478</v>
      </c>
      <c r="H234" s="18">
        <f>ROUND(SUMPRODUCT(SUMIF(Final!$G$5:$G$331,CashReserveLevy!D234:F234,Final!$C$5:$C$331)),0)</f>
        <v>55985267</v>
      </c>
      <c r="I234" s="18">
        <f t="shared" si="16"/>
        <v>11197053</v>
      </c>
      <c r="J234" s="18">
        <f>ROUND(SUMPRODUCT(SUMIF(Final!$G$5:$G$331,CashReserveLevy!D234:F234,Final!$E$5:$E$331)),0)</f>
        <v>10083359</v>
      </c>
      <c r="K234" s="18">
        <f t="shared" si="17"/>
        <v>1113694</v>
      </c>
      <c r="L234" s="18">
        <f>INDEX(ActualCRLevy_SAS!$A$2:$D$328,MATCH(CashReserveLevy!$C234,ActualCRLevy_SAS!$B$2:$B$328,0),4)</f>
        <v>1113694</v>
      </c>
      <c r="M234" s="19" t="str">
        <f t="shared" si="18"/>
        <v>Max</v>
      </c>
      <c r="N234" s="1" t="str">
        <f t="shared" si="19"/>
        <v/>
      </c>
      <c r="O234" s="1" t="str">
        <f t="shared" si="20"/>
        <v/>
      </c>
    </row>
    <row r="235" spans="1:15" x14ac:dyDescent="0.2">
      <c r="A235" s="17">
        <v>2023</v>
      </c>
      <c r="B235" s="17" t="s">
        <v>0</v>
      </c>
      <c r="C235" s="17" t="s">
        <v>479</v>
      </c>
      <c r="D235" s="17" t="s">
        <v>697</v>
      </c>
      <c r="E235" s="17" t="s">
        <v>697</v>
      </c>
      <c r="F235" s="17" t="s">
        <v>479</v>
      </c>
      <c r="G235" s="17" t="s">
        <v>480</v>
      </c>
      <c r="H235" s="18">
        <f>ROUND(SUMPRODUCT(SUMIF(Final!$G$5:$G$331,CashReserveLevy!D235:F235,Final!$C$5:$C$331)),0)</f>
        <v>8380446</v>
      </c>
      <c r="I235" s="18">
        <f t="shared" si="16"/>
        <v>1676089</v>
      </c>
      <c r="J235" s="18">
        <f>ROUND(SUMPRODUCT(SUMIF(Final!$G$5:$G$331,CashReserveLevy!D235:F235,Final!$E$5:$E$331)),0)</f>
        <v>2151446</v>
      </c>
      <c r="K235" s="18">
        <f t="shared" si="17"/>
        <v>0</v>
      </c>
      <c r="L235" s="18">
        <f>INDEX(ActualCRLevy_SAS!$A$2:$D$328,MATCH(CashReserveLevy!$C235,ActualCRLevy_SAS!$B$2:$B$328,0),4)</f>
        <v>0</v>
      </c>
      <c r="M235" s="19" t="str">
        <f t="shared" si="18"/>
        <v/>
      </c>
      <c r="N235" s="1" t="str">
        <f t="shared" si="19"/>
        <v/>
      </c>
      <c r="O235" s="1" t="str">
        <f t="shared" si="20"/>
        <v/>
      </c>
    </row>
    <row r="236" spans="1:15" x14ac:dyDescent="0.2">
      <c r="A236" s="17">
        <v>2023</v>
      </c>
      <c r="B236" s="17" t="s">
        <v>14</v>
      </c>
      <c r="C236" s="17" t="s">
        <v>481</v>
      </c>
      <c r="D236" s="17" t="s">
        <v>697</v>
      </c>
      <c r="E236" s="17" t="s">
        <v>697</v>
      </c>
      <c r="F236" s="17" t="s">
        <v>481</v>
      </c>
      <c r="G236" s="17" t="s">
        <v>482</v>
      </c>
      <c r="H236" s="18">
        <f>ROUND(SUMPRODUCT(SUMIF(Final!$G$5:$G$331,CashReserveLevy!D236:F236,Final!$C$5:$C$331)),0)</f>
        <v>9582435</v>
      </c>
      <c r="I236" s="18">
        <f t="shared" si="16"/>
        <v>1916487</v>
      </c>
      <c r="J236" s="18">
        <f>ROUND(SUMPRODUCT(SUMIF(Final!$G$5:$G$331,CashReserveLevy!D236:F236,Final!$E$5:$E$331)),0)</f>
        <v>907060</v>
      </c>
      <c r="K236" s="18">
        <f t="shared" si="17"/>
        <v>1009427</v>
      </c>
      <c r="L236" s="18">
        <f>INDEX(ActualCRLevy_SAS!$A$2:$D$328,MATCH(CashReserveLevy!$C236,ActualCRLevy_SAS!$B$2:$B$328,0),4)</f>
        <v>1009427</v>
      </c>
      <c r="M236" s="19" t="str">
        <f t="shared" si="18"/>
        <v>Max</v>
      </c>
      <c r="N236" s="1" t="str">
        <f t="shared" si="19"/>
        <v/>
      </c>
      <c r="O236" s="1" t="str">
        <f t="shared" si="20"/>
        <v/>
      </c>
    </row>
    <row r="237" spans="1:15" x14ac:dyDescent="0.2">
      <c r="A237" s="17">
        <v>2023</v>
      </c>
      <c r="B237" s="17" t="s">
        <v>28</v>
      </c>
      <c r="C237" s="17" t="s">
        <v>483</v>
      </c>
      <c r="D237" s="17" t="s">
        <v>697</v>
      </c>
      <c r="E237" s="17" t="s">
        <v>697</v>
      </c>
      <c r="F237" s="17" t="s">
        <v>483</v>
      </c>
      <c r="G237" s="17" t="s">
        <v>484</v>
      </c>
      <c r="H237" s="18">
        <f>ROUND(SUMPRODUCT(SUMIF(Final!$G$5:$G$331,CashReserveLevy!D237:F237,Final!$C$5:$C$331)),0)</f>
        <v>9929205</v>
      </c>
      <c r="I237" s="18">
        <f t="shared" si="16"/>
        <v>1985841</v>
      </c>
      <c r="J237" s="18">
        <f>ROUND(SUMPRODUCT(SUMIF(Final!$G$5:$G$331,CashReserveLevy!D237:F237,Final!$E$5:$E$331)),0)</f>
        <v>711400</v>
      </c>
      <c r="K237" s="18">
        <f t="shared" si="17"/>
        <v>1274441</v>
      </c>
      <c r="L237" s="18">
        <f>INDEX(ActualCRLevy_SAS!$A$2:$D$328,MATCH(CashReserveLevy!$C237,ActualCRLevy_SAS!$B$2:$B$328,0),4)</f>
        <v>248997</v>
      </c>
      <c r="M237" s="19" t="str">
        <f t="shared" si="18"/>
        <v/>
      </c>
      <c r="N237" s="1" t="str">
        <f t="shared" si="19"/>
        <v/>
      </c>
      <c r="O237" s="1" t="str">
        <f t="shared" si="20"/>
        <v/>
      </c>
    </row>
    <row r="238" spans="1:15" x14ac:dyDescent="0.2">
      <c r="A238" s="17">
        <v>2023</v>
      </c>
      <c r="B238" s="17" t="s">
        <v>14</v>
      </c>
      <c r="C238" s="17" t="s">
        <v>485</v>
      </c>
      <c r="D238" s="17" t="s">
        <v>697</v>
      </c>
      <c r="E238" s="17" t="s">
        <v>697</v>
      </c>
      <c r="F238" s="17" t="s">
        <v>486</v>
      </c>
      <c r="G238" s="17" t="s">
        <v>487</v>
      </c>
      <c r="H238" s="18">
        <f>ROUND(SUMPRODUCT(SUMIF(Final!$G$5:$G$331,CashReserveLevy!D238:F238,Final!$C$5:$C$331)),0)</f>
        <v>8871484</v>
      </c>
      <c r="I238" s="18">
        <f t="shared" si="16"/>
        <v>1774297</v>
      </c>
      <c r="J238" s="18">
        <f>ROUND(SUMPRODUCT(SUMIF(Final!$G$5:$G$331,CashReserveLevy!D238:F238,Final!$E$5:$E$331)),0)</f>
        <v>4066587</v>
      </c>
      <c r="K238" s="18">
        <f t="shared" si="17"/>
        <v>0</v>
      </c>
      <c r="L238" s="18">
        <f>INDEX(ActualCRLevy_SAS!$A$2:$D$328,MATCH(CashReserveLevy!$C238,ActualCRLevy_SAS!$B$2:$B$328,0),4)</f>
        <v>0</v>
      </c>
      <c r="M238" s="19" t="str">
        <f t="shared" si="18"/>
        <v/>
      </c>
      <c r="N238" s="1" t="str">
        <f t="shared" si="19"/>
        <v/>
      </c>
      <c r="O238" s="1" t="str">
        <f t="shared" si="20"/>
        <v/>
      </c>
    </row>
    <row r="239" spans="1:15" x14ac:dyDescent="0.2">
      <c r="A239" s="17">
        <v>2023</v>
      </c>
      <c r="B239" s="17" t="s">
        <v>8</v>
      </c>
      <c r="C239" s="17" t="s">
        <v>488</v>
      </c>
      <c r="D239" s="17" t="s">
        <v>697</v>
      </c>
      <c r="E239" s="17" t="s">
        <v>697</v>
      </c>
      <c r="F239" s="17" t="s">
        <v>488</v>
      </c>
      <c r="G239" s="17" t="s">
        <v>489</v>
      </c>
      <c r="H239" s="18">
        <f>ROUND(SUMPRODUCT(SUMIF(Final!$G$5:$G$331,CashReserveLevy!D239:F239,Final!$C$5:$C$331)),0)</f>
        <v>13080365</v>
      </c>
      <c r="I239" s="18">
        <f t="shared" si="16"/>
        <v>2616073</v>
      </c>
      <c r="J239" s="18">
        <f>ROUND(SUMPRODUCT(SUMIF(Final!$G$5:$G$331,CashReserveLevy!D239:F239,Final!$E$5:$E$331)),0)</f>
        <v>2892862</v>
      </c>
      <c r="K239" s="18">
        <f t="shared" si="17"/>
        <v>0</v>
      </c>
      <c r="L239" s="18">
        <f>INDEX(ActualCRLevy_SAS!$A$2:$D$328,MATCH(CashReserveLevy!$C239,ActualCRLevy_SAS!$B$2:$B$328,0),4)</f>
        <v>0</v>
      </c>
      <c r="M239" s="19" t="str">
        <f t="shared" si="18"/>
        <v/>
      </c>
      <c r="N239" s="1" t="str">
        <f t="shared" si="19"/>
        <v/>
      </c>
      <c r="O239" s="1" t="str">
        <f t="shared" si="20"/>
        <v/>
      </c>
    </row>
    <row r="240" spans="1:15" x14ac:dyDescent="0.2">
      <c r="A240" s="17">
        <v>2023</v>
      </c>
      <c r="B240" s="17" t="s">
        <v>11</v>
      </c>
      <c r="C240" s="17" t="s">
        <v>490</v>
      </c>
      <c r="D240" s="17" t="s">
        <v>697</v>
      </c>
      <c r="E240" s="17" t="s">
        <v>697</v>
      </c>
      <c r="F240" s="17" t="s">
        <v>490</v>
      </c>
      <c r="G240" s="17" t="s">
        <v>491</v>
      </c>
      <c r="H240" s="18">
        <f>ROUND(SUMPRODUCT(SUMIF(Final!$G$5:$G$331,CashReserveLevy!D240:F240,Final!$C$5:$C$331)),0)</f>
        <v>5219062</v>
      </c>
      <c r="I240" s="18">
        <f t="shared" si="16"/>
        <v>1043812</v>
      </c>
      <c r="J240" s="18">
        <f>ROUND(SUMPRODUCT(SUMIF(Final!$G$5:$G$331,CashReserveLevy!D240:F240,Final!$E$5:$E$331)),0)</f>
        <v>1889361</v>
      </c>
      <c r="K240" s="18">
        <f t="shared" si="17"/>
        <v>0</v>
      </c>
      <c r="L240" s="18">
        <f>INDEX(ActualCRLevy_SAS!$A$2:$D$328,MATCH(CashReserveLevy!$C240,ActualCRLevy_SAS!$B$2:$B$328,0),4)</f>
        <v>0</v>
      </c>
      <c r="M240" s="19" t="str">
        <f t="shared" si="18"/>
        <v/>
      </c>
      <c r="N240" s="1" t="str">
        <f t="shared" si="19"/>
        <v/>
      </c>
      <c r="O240" s="1" t="str">
        <f t="shared" si="20"/>
        <v/>
      </c>
    </row>
    <row r="241" spans="1:15" x14ac:dyDescent="0.2">
      <c r="A241" s="17">
        <v>2023</v>
      </c>
      <c r="B241" s="17" t="s">
        <v>28</v>
      </c>
      <c r="C241" s="17" t="s">
        <v>492</v>
      </c>
      <c r="D241" s="17" t="s">
        <v>697</v>
      </c>
      <c r="E241" s="17" t="s">
        <v>697</v>
      </c>
      <c r="F241" s="17" t="s">
        <v>492</v>
      </c>
      <c r="G241" s="17" t="s">
        <v>493</v>
      </c>
      <c r="H241" s="18">
        <f>ROUND(SUMPRODUCT(SUMIF(Final!$G$5:$G$331,CashReserveLevy!D241:F241,Final!$C$5:$C$331)),0)</f>
        <v>4786748</v>
      </c>
      <c r="I241" s="18">
        <f t="shared" si="16"/>
        <v>957350</v>
      </c>
      <c r="J241" s="18">
        <f>ROUND(SUMPRODUCT(SUMIF(Final!$G$5:$G$331,CashReserveLevy!D241:F241,Final!$E$5:$E$331)),0)</f>
        <v>1471158</v>
      </c>
      <c r="K241" s="18">
        <f t="shared" si="17"/>
        <v>0</v>
      </c>
      <c r="L241" s="18">
        <f>INDEX(ActualCRLevy_SAS!$A$2:$D$328,MATCH(CashReserveLevy!$C241,ActualCRLevy_SAS!$B$2:$B$328,0),4)</f>
        <v>0</v>
      </c>
      <c r="M241" s="19" t="str">
        <f t="shared" si="18"/>
        <v/>
      </c>
      <c r="N241" s="1" t="str">
        <f t="shared" si="19"/>
        <v/>
      </c>
      <c r="O241" s="1" t="str">
        <f t="shared" si="20"/>
        <v/>
      </c>
    </row>
    <row r="242" spans="1:15" x14ac:dyDescent="0.2">
      <c r="A242" s="17">
        <v>2023</v>
      </c>
      <c r="B242" s="17" t="s">
        <v>11</v>
      </c>
      <c r="C242" s="17" t="s">
        <v>494</v>
      </c>
      <c r="D242" s="17" t="s">
        <v>697</v>
      </c>
      <c r="E242" s="17" t="s">
        <v>697</v>
      </c>
      <c r="F242" s="17" t="s">
        <v>494</v>
      </c>
      <c r="G242" s="17" t="s">
        <v>495</v>
      </c>
      <c r="H242" s="18">
        <f>ROUND(SUMPRODUCT(SUMIF(Final!$G$5:$G$331,CashReserveLevy!D242:F242,Final!$C$5:$C$331)),0)</f>
        <v>5120509</v>
      </c>
      <c r="I242" s="18">
        <f t="shared" si="16"/>
        <v>1024102</v>
      </c>
      <c r="J242" s="18">
        <f>ROUND(SUMPRODUCT(SUMIF(Final!$G$5:$G$331,CashReserveLevy!D242:F242,Final!$E$5:$E$331)),0)</f>
        <v>1553769</v>
      </c>
      <c r="K242" s="18">
        <f t="shared" si="17"/>
        <v>0</v>
      </c>
      <c r="L242" s="18">
        <f>INDEX(ActualCRLevy_SAS!$A$2:$D$328,MATCH(CashReserveLevy!$C242,ActualCRLevy_SAS!$B$2:$B$328,0),4)</f>
        <v>0</v>
      </c>
      <c r="M242" s="19" t="str">
        <f t="shared" si="18"/>
        <v/>
      </c>
      <c r="N242" s="1" t="str">
        <f t="shared" si="19"/>
        <v/>
      </c>
      <c r="O242" s="1" t="str">
        <f t="shared" si="20"/>
        <v/>
      </c>
    </row>
    <row r="243" spans="1:15" x14ac:dyDescent="0.2">
      <c r="A243" s="17">
        <v>2023</v>
      </c>
      <c r="B243" s="17" t="s">
        <v>8</v>
      </c>
      <c r="C243" s="17" t="s">
        <v>496</v>
      </c>
      <c r="D243" s="17" t="s">
        <v>697</v>
      </c>
      <c r="E243" s="17" t="s">
        <v>697</v>
      </c>
      <c r="F243" s="17" t="s">
        <v>497</v>
      </c>
      <c r="G243" s="17" t="s">
        <v>498</v>
      </c>
      <c r="H243" s="18">
        <f>ROUND(SUMPRODUCT(SUMIF(Final!$G$5:$G$331,CashReserveLevy!D243:F243,Final!$C$5:$C$331)),0)</f>
        <v>9291290</v>
      </c>
      <c r="I243" s="18">
        <f t="shared" si="16"/>
        <v>1858258</v>
      </c>
      <c r="J243" s="18">
        <f>ROUND(SUMPRODUCT(SUMIF(Final!$G$5:$G$331,CashReserveLevy!D243:F243,Final!$E$5:$E$331)),0)</f>
        <v>662050</v>
      </c>
      <c r="K243" s="18">
        <f t="shared" si="17"/>
        <v>1196208</v>
      </c>
      <c r="L243" s="18">
        <f>INDEX(ActualCRLevy_SAS!$A$2:$D$328,MATCH(CashReserveLevy!$C243,ActualCRLevy_SAS!$B$2:$B$328,0),4)</f>
        <v>1045416</v>
      </c>
      <c r="M243" s="19" t="str">
        <f t="shared" si="18"/>
        <v/>
      </c>
      <c r="N243" s="1" t="str">
        <f t="shared" si="19"/>
        <v/>
      </c>
      <c r="O243" s="1" t="str">
        <f t="shared" si="20"/>
        <v/>
      </c>
    </row>
    <row r="244" spans="1:15" x14ac:dyDescent="0.2">
      <c r="A244" s="17">
        <v>2023</v>
      </c>
      <c r="B244" s="17" t="s">
        <v>11</v>
      </c>
      <c r="C244" s="17" t="s">
        <v>499</v>
      </c>
      <c r="D244" s="17" t="s">
        <v>697</v>
      </c>
      <c r="E244" s="17" t="s">
        <v>697</v>
      </c>
      <c r="F244" s="17" t="s">
        <v>499</v>
      </c>
      <c r="G244" s="17" t="s">
        <v>500</v>
      </c>
      <c r="H244" s="18">
        <f>ROUND(SUMPRODUCT(SUMIF(Final!$G$5:$G$331,CashReserveLevy!D244:F244,Final!$C$5:$C$331)),0)</f>
        <v>10835530</v>
      </c>
      <c r="I244" s="18">
        <f t="shared" si="16"/>
        <v>2167106</v>
      </c>
      <c r="J244" s="18">
        <f>ROUND(SUMPRODUCT(SUMIF(Final!$G$5:$G$331,CashReserveLevy!D244:F244,Final!$E$5:$E$331)),0)</f>
        <v>3561572</v>
      </c>
      <c r="K244" s="18">
        <f t="shared" si="17"/>
        <v>0</v>
      </c>
      <c r="L244" s="18">
        <f>INDEX(ActualCRLevy_SAS!$A$2:$D$328,MATCH(CashReserveLevy!$C244,ActualCRLevy_SAS!$B$2:$B$328,0),4)</f>
        <v>0</v>
      </c>
      <c r="M244" s="19" t="str">
        <f t="shared" si="18"/>
        <v/>
      </c>
      <c r="N244" s="1" t="str">
        <f t="shared" si="19"/>
        <v/>
      </c>
      <c r="O244" s="1" t="str">
        <f t="shared" si="20"/>
        <v/>
      </c>
    </row>
    <row r="245" spans="1:15" x14ac:dyDescent="0.2">
      <c r="A245" s="17">
        <v>2023</v>
      </c>
      <c r="B245" s="17" t="s">
        <v>0</v>
      </c>
      <c r="C245" s="17" t="s">
        <v>501</v>
      </c>
      <c r="D245" s="17" t="s">
        <v>697</v>
      </c>
      <c r="E245" s="17" t="s">
        <v>697</v>
      </c>
      <c r="F245" s="17" t="s">
        <v>501</v>
      </c>
      <c r="G245" s="17" t="s">
        <v>502</v>
      </c>
      <c r="H245" s="18">
        <f>ROUND(SUMPRODUCT(SUMIF(Final!$G$5:$G$331,CashReserveLevy!D245:F245,Final!$C$5:$C$331)),0)</f>
        <v>12076595</v>
      </c>
      <c r="I245" s="18">
        <f t="shared" si="16"/>
        <v>2415319</v>
      </c>
      <c r="J245" s="18">
        <f>ROUND(SUMPRODUCT(SUMIF(Final!$G$5:$G$331,CashReserveLevy!D245:F245,Final!$E$5:$E$331)),0)</f>
        <v>2608995</v>
      </c>
      <c r="K245" s="18">
        <f t="shared" si="17"/>
        <v>0</v>
      </c>
      <c r="L245" s="18">
        <f>INDEX(ActualCRLevy_SAS!$A$2:$D$328,MATCH(CashReserveLevy!$C245,ActualCRLevy_SAS!$B$2:$B$328,0),4)</f>
        <v>0</v>
      </c>
      <c r="M245" s="19" t="str">
        <f t="shared" si="18"/>
        <v/>
      </c>
      <c r="N245" s="1" t="str">
        <f t="shared" si="19"/>
        <v/>
      </c>
      <c r="O245" s="1" t="str">
        <f t="shared" si="20"/>
        <v/>
      </c>
    </row>
    <row r="246" spans="1:15" x14ac:dyDescent="0.2">
      <c r="A246" s="17">
        <v>2023</v>
      </c>
      <c r="B246" s="17" t="s">
        <v>5</v>
      </c>
      <c r="C246" s="17" t="s">
        <v>503</v>
      </c>
      <c r="D246" s="17" t="s">
        <v>697</v>
      </c>
      <c r="E246" s="17" t="s">
        <v>697</v>
      </c>
      <c r="F246" s="17" t="s">
        <v>503</v>
      </c>
      <c r="G246" s="17" t="s">
        <v>504</v>
      </c>
      <c r="H246" s="18">
        <f>ROUND(SUMPRODUCT(SUMIF(Final!$G$5:$G$331,CashReserveLevy!D246:F246,Final!$C$5:$C$331)),0)</f>
        <v>5469197</v>
      </c>
      <c r="I246" s="18">
        <f t="shared" si="16"/>
        <v>1093839</v>
      </c>
      <c r="J246" s="18">
        <f>ROUND(SUMPRODUCT(SUMIF(Final!$G$5:$G$331,CashReserveLevy!D246:F246,Final!$E$5:$E$331)),0)</f>
        <v>933753</v>
      </c>
      <c r="K246" s="18">
        <f t="shared" si="17"/>
        <v>160086</v>
      </c>
      <c r="L246" s="18">
        <f>INDEX(ActualCRLevy_SAS!$A$2:$D$328,MATCH(CashReserveLevy!$C246,ActualCRLevy_SAS!$B$2:$B$328,0),4)</f>
        <v>160086</v>
      </c>
      <c r="M246" s="19" t="str">
        <f t="shared" si="18"/>
        <v>Max</v>
      </c>
      <c r="N246" s="1" t="str">
        <f t="shared" si="19"/>
        <v/>
      </c>
      <c r="O246" s="1" t="str">
        <f t="shared" si="20"/>
        <v/>
      </c>
    </row>
    <row r="247" spans="1:15" x14ac:dyDescent="0.2">
      <c r="A247" s="17">
        <v>2023</v>
      </c>
      <c r="B247" s="17" t="s">
        <v>14</v>
      </c>
      <c r="C247" s="17" t="s">
        <v>505</v>
      </c>
      <c r="D247" s="17" t="s">
        <v>697</v>
      </c>
      <c r="E247" s="17" t="s">
        <v>697</v>
      </c>
      <c r="F247" s="17" t="s">
        <v>505</v>
      </c>
      <c r="G247" s="17" t="s">
        <v>506</v>
      </c>
      <c r="H247" s="18">
        <f>ROUND(SUMPRODUCT(SUMIF(Final!$G$5:$G$331,CashReserveLevy!D247:F247,Final!$C$5:$C$331)),0)</f>
        <v>3636457</v>
      </c>
      <c r="I247" s="18">
        <f t="shared" si="16"/>
        <v>727291</v>
      </c>
      <c r="J247" s="18">
        <f>ROUND(SUMPRODUCT(SUMIF(Final!$G$5:$G$331,CashReserveLevy!D247:F247,Final!$E$5:$E$331)),0)</f>
        <v>858710</v>
      </c>
      <c r="K247" s="18">
        <f t="shared" si="17"/>
        <v>0</v>
      </c>
      <c r="L247" s="18">
        <f>INDEX(ActualCRLevy_SAS!$A$2:$D$328,MATCH(CashReserveLevy!$C247,ActualCRLevy_SAS!$B$2:$B$328,0),4)</f>
        <v>0</v>
      </c>
      <c r="M247" s="19" t="str">
        <f t="shared" si="18"/>
        <v/>
      </c>
      <c r="N247" s="1" t="str">
        <f t="shared" si="19"/>
        <v/>
      </c>
      <c r="O247" s="1" t="str">
        <f t="shared" si="20"/>
        <v/>
      </c>
    </row>
    <row r="248" spans="1:15" x14ac:dyDescent="0.2">
      <c r="A248" s="17">
        <v>2023</v>
      </c>
      <c r="B248" s="17" t="s">
        <v>0</v>
      </c>
      <c r="C248" s="17" t="s">
        <v>507</v>
      </c>
      <c r="D248" s="17" t="s">
        <v>697</v>
      </c>
      <c r="E248" s="17" t="s">
        <v>697</v>
      </c>
      <c r="F248" s="17" t="s">
        <v>507</v>
      </c>
      <c r="G248" s="17" t="s">
        <v>508</v>
      </c>
      <c r="H248" s="18">
        <f>ROUND(SUMPRODUCT(SUMIF(Final!$G$5:$G$331,CashReserveLevy!D248:F248,Final!$C$5:$C$331)),0)</f>
        <v>18917538</v>
      </c>
      <c r="I248" s="18">
        <f t="shared" si="16"/>
        <v>3783508</v>
      </c>
      <c r="J248" s="18">
        <f>ROUND(SUMPRODUCT(SUMIF(Final!$G$5:$G$331,CashReserveLevy!D248:F248,Final!$E$5:$E$331)),0)</f>
        <v>430585</v>
      </c>
      <c r="K248" s="18">
        <f t="shared" si="17"/>
        <v>3352923</v>
      </c>
      <c r="L248" s="18">
        <f>INDEX(ActualCRLevy_SAS!$A$2:$D$328,MATCH(CashReserveLevy!$C248,ActualCRLevy_SAS!$B$2:$B$328,0),4)</f>
        <v>1370955</v>
      </c>
      <c r="M248" s="19" t="str">
        <f t="shared" si="18"/>
        <v/>
      </c>
      <c r="N248" s="1" t="str">
        <f t="shared" si="19"/>
        <v/>
      </c>
      <c r="O248" s="1" t="str">
        <f t="shared" si="20"/>
        <v/>
      </c>
    </row>
    <row r="249" spans="1:15" x14ac:dyDescent="0.2">
      <c r="A249" s="17">
        <v>2023</v>
      </c>
      <c r="B249" s="17" t="s">
        <v>14</v>
      </c>
      <c r="C249" s="17" t="s">
        <v>509</v>
      </c>
      <c r="D249" s="17" t="s">
        <v>697</v>
      </c>
      <c r="E249" s="17" t="s">
        <v>697</v>
      </c>
      <c r="F249" s="17" t="s">
        <v>509</v>
      </c>
      <c r="G249" s="17" t="s">
        <v>510</v>
      </c>
      <c r="H249" s="18">
        <f>ROUND(SUMPRODUCT(SUMIF(Final!$G$5:$G$331,CashReserveLevy!D249:F249,Final!$C$5:$C$331)),0)</f>
        <v>5453844</v>
      </c>
      <c r="I249" s="18">
        <f t="shared" si="16"/>
        <v>1090769</v>
      </c>
      <c r="J249" s="18">
        <f>ROUND(SUMPRODUCT(SUMIF(Final!$G$5:$G$331,CashReserveLevy!D249:F249,Final!$E$5:$E$331)),0)</f>
        <v>1593976</v>
      </c>
      <c r="K249" s="18">
        <f t="shared" si="17"/>
        <v>0</v>
      </c>
      <c r="L249" s="18">
        <f>INDEX(ActualCRLevy_SAS!$A$2:$D$328,MATCH(CashReserveLevy!$C249,ActualCRLevy_SAS!$B$2:$B$328,0),4)</f>
        <v>0</v>
      </c>
      <c r="M249" s="19" t="str">
        <f t="shared" si="18"/>
        <v/>
      </c>
      <c r="N249" s="1" t="str">
        <f t="shared" si="19"/>
        <v/>
      </c>
      <c r="O249" s="1" t="str">
        <f t="shared" si="20"/>
        <v/>
      </c>
    </row>
    <row r="250" spans="1:15" x14ac:dyDescent="0.2">
      <c r="A250" s="17">
        <v>2023</v>
      </c>
      <c r="B250" s="17" t="s">
        <v>11</v>
      </c>
      <c r="C250" s="17" t="s">
        <v>511</v>
      </c>
      <c r="D250" s="17" t="s">
        <v>697</v>
      </c>
      <c r="E250" s="17" t="s">
        <v>697</v>
      </c>
      <c r="F250" s="17" t="s">
        <v>511</v>
      </c>
      <c r="G250" s="17" t="s">
        <v>512</v>
      </c>
      <c r="H250" s="18">
        <f>ROUND(SUMPRODUCT(SUMIF(Final!$G$5:$G$331,CashReserveLevy!D250:F250,Final!$C$5:$C$331)),0)</f>
        <v>3545974</v>
      </c>
      <c r="I250" s="18">
        <f t="shared" si="16"/>
        <v>709195</v>
      </c>
      <c r="J250" s="18">
        <f>ROUND(SUMPRODUCT(SUMIF(Final!$G$5:$G$331,CashReserveLevy!D250:F250,Final!$E$5:$E$331)),0)</f>
        <v>1400822</v>
      </c>
      <c r="K250" s="18">
        <f t="shared" si="17"/>
        <v>0</v>
      </c>
      <c r="L250" s="18">
        <f>INDEX(ActualCRLevy_SAS!$A$2:$D$328,MATCH(CashReserveLevy!$C250,ActualCRLevy_SAS!$B$2:$B$328,0),4)</f>
        <v>0</v>
      </c>
      <c r="M250" s="19" t="str">
        <f t="shared" si="18"/>
        <v/>
      </c>
      <c r="N250" s="1" t="str">
        <f t="shared" si="19"/>
        <v/>
      </c>
      <c r="O250" s="1" t="str">
        <f t="shared" si="20"/>
        <v/>
      </c>
    </row>
    <row r="251" spans="1:15" x14ac:dyDescent="0.2">
      <c r="A251" s="17">
        <v>2023</v>
      </c>
      <c r="B251" s="17" t="s">
        <v>11</v>
      </c>
      <c r="C251" s="17" t="s">
        <v>513</v>
      </c>
      <c r="D251" s="17" t="s">
        <v>697</v>
      </c>
      <c r="E251" s="17" t="s">
        <v>697</v>
      </c>
      <c r="F251" s="17" t="s">
        <v>513</v>
      </c>
      <c r="G251" s="17" t="s">
        <v>514</v>
      </c>
      <c r="H251" s="18">
        <f>ROUND(SUMPRODUCT(SUMIF(Final!$G$5:$G$331,CashReserveLevy!D251:F251,Final!$C$5:$C$331)),0)</f>
        <v>19344998</v>
      </c>
      <c r="I251" s="18">
        <f t="shared" si="16"/>
        <v>3869000</v>
      </c>
      <c r="J251" s="18">
        <f>ROUND(SUMPRODUCT(SUMIF(Final!$G$5:$G$331,CashReserveLevy!D251:F251,Final!$E$5:$E$331)),0)</f>
        <v>4349732</v>
      </c>
      <c r="K251" s="18">
        <f t="shared" si="17"/>
        <v>0</v>
      </c>
      <c r="L251" s="18">
        <f>INDEX(ActualCRLevy_SAS!$A$2:$D$328,MATCH(CashReserveLevy!$C251,ActualCRLevy_SAS!$B$2:$B$328,0),4)</f>
        <v>0</v>
      </c>
      <c r="M251" s="19" t="str">
        <f t="shared" si="18"/>
        <v/>
      </c>
      <c r="N251" s="1" t="str">
        <f t="shared" si="19"/>
        <v/>
      </c>
      <c r="O251" s="1" t="str">
        <f t="shared" si="20"/>
        <v/>
      </c>
    </row>
    <row r="252" spans="1:15" x14ac:dyDescent="0.2">
      <c r="A252" s="17">
        <v>2023</v>
      </c>
      <c r="B252" s="17" t="s">
        <v>17</v>
      </c>
      <c r="C252" s="17" t="s">
        <v>515</v>
      </c>
      <c r="D252" s="17" t="s">
        <v>697</v>
      </c>
      <c r="E252" s="17" t="s">
        <v>697</v>
      </c>
      <c r="F252" s="17" t="s">
        <v>515</v>
      </c>
      <c r="G252" s="17" t="s">
        <v>516</v>
      </c>
      <c r="H252" s="18">
        <f>ROUND(SUMPRODUCT(SUMIF(Final!$G$5:$G$331,CashReserveLevy!D252:F252,Final!$C$5:$C$331)),0)</f>
        <v>3926721</v>
      </c>
      <c r="I252" s="18">
        <f t="shared" si="16"/>
        <v>785344</v>
      </c>
      <c r="J252" s="18">
        <f>ROUND(SUMPRODUCT(SUMIF(Final!$G$5:$G$331,CashReserveLevy!D252:F252,Final!$E$5:$E$331)),0)</f>
        <v>1526399</v>
      </c>
      <c r="K252" s="18">
        <f t="shared" si="17"/>
        <v>0</v>
      </c>
      <c r="L252" s="18">
        <f>INDEX(ActualCRLevy_SAS!$A$2:$D$328,MATCH(CashReserveLevy!$C252,ActualCRLevy_SAS!$B$2:$B$328,0),4)</f>
        <v>0</v>
      </c>
      <c r="M252" s="19" t="str">
        <f t="shared" si="18"/>
        <v/>
      </c>
      <c r="N252" s="1" t="str">
        <f t="shared" si="19"/>
        <v/>
      </c>
      <c r="O252" s="1" t="str">
        <f t="shared" si="20"/>
        <v/>
      </c>
    </row>
    <row r="253" spans="1:15" x14ac:dyDescent="0.2">
      <c r="A253" s="17">
        <v>2023</v>
      </c>
      <c r="B253" s="17" t="s">
        <v>11</v>
      </c>
      <c r="C253" s="17" t="s">
        <v>517</v>
      </c>
      <c r="D253" s="17" t="s">
        <v>697</v>
      </c>
      <c r="E253" s="17" t="s">
        <v>697</v>
      </c>
      <c r="F253" s="17" t="s">
        <v>517</v>
      </c>
      <c r="G253" s="17" t="s">
        <v>518</v>
      </c>
      <c r="H253" s="18">
        <f>ROUND(SUMPRODUCT(SUMIF(Final!$G$5:$G$331,CashReserveLevy!D253:F253,Final!$C$5:$C$331)),0)</f>
        <v>13048877</v>
      </c>
      <c r="I253" s="18">
        <f t="shared" si="16"/>
        <v>2609775</v>
      </c>
      <c r="J253" s="18">
        <f>ROUND(SUMPRODUCT(SUMIF(Final!$G$5:$G$331,CashReserveLevy!D253:F253,Final!$E$5:$E$331)),0)</f>
        <v>4486534</v>
      </c>
      <c r="K253" s="18">
        <f t="shared" si="17"/>
        <v>0</v>
      </c>
      <c r="L253" s="18">
        <f>INDEX(ActualCRLevy_SAS!$A$2:$D$328,MATCH(CashReserveLevy!$C253,ActualCRLevy_SAS!$B$2:$B$328,0),4)</f>
        <v>0</v>
      </c>
      <c r="M253" s="19" t="str">
        <f t="shared" si="18"/>
        <v/>
      </c>
      <c r="N253" s="1" t="str">
        <f t="shared" si="19"/>
        <v/>
      </c>
      <c r="O253" s="1" t="str">
        <f t="shared" si="20"/>
        <v/>
      </c>
    </row>
    <row r="254" spans="1:15" x14ac:dyDescent="0.2">
      <c r="A254" s="17">
        <v>2023</v>
      </c>
      <c r="B254" s="17" t="s">
        <v>8</v>
      </c>
      <c r="C254" s="17" t="s">
        <v>519</v>
      </c>
      <c r="D254" s="17" t="s">
        <v>697</v>
      </c>
      <c r="E254" s="17" t="s">
        <v>697</v>
      </c>
      <c r="F254" s="17" t="s">
        <v>519</v>
      </c>
      <c r="G254" s="17" t="s">
        <v>520</v>
      </c>
      <c r="H254" s="18">
        <f>ROUND(SUMPRODUCT(SUMIF(Final!$G$5:$G$331,CashReserveLevy!D254:F254,Final!$C$5:$C$331)),0)</f>
        <v>13715047</v>
      </c>
      <c r="I254" s="18">
        <f t="shared" si="16"/>
        <v>2743009</v>
      </c>
      <c r="J254" s="18">
        <f>ROUND(SUMPRODUCT(SUMIF(Final!$G$5:$G$331,CashReserveLevy!D254:F254,Final!$E$5:$E$331)),0)</f>
        <v>2404684</v>
      </c>
      <c r="K254" s="18">
        <f t="shared" si="17"/>
        <v>338325</v>
      </c>
      <c r="L254" s="18">
        <f>INDEX(ActualCRLevy_SAS!$A$2:$D$328,MATCH(CashReserveLevy!$C254,ActualCRLevy_SAS!$B$2:$B$328,0),4)</f>
        <v>338325</v>
      </c>
      <c r="M254" s="19" t="str">
        <f t="shared" si="18"/>
        <v>Max</v>
      </c>
      <c r="N254" s="1" t="str">
        <f t="shared" si="19"/>
        <v/>
      </c>
      <c r="O254" s="1" t="str">
        <f t="shared" si="20"/>
        <v/>
      </c>
    </row>
    <row r="255" spans="1:15" x14ac:dyDescent="0.2">
      <c r="A255" s="17">
        <v>2023</v>
      </c>
      <c r="B255" s="17" t="s">
        <v>11</v>
      </c>
      <c r="C255" s="17" t="s">
        <v>521</v>
      </c>
      <c r="D255" s="17" t="s">
        <v>697</v>
      </c>
      <c r="E255" s="17" t="s">
        <v>697</v>
      </c>
      <c r="F255" s="17" t="s">
        <v>521</v>
      </c>
      <c r="G255" s="17" t="s">
        <v>522</v>
      </c>
      <c r="H255" s="18">
        <f>ROUND(SUMPRODUCT(SUMIF(Final!$G$5:$G$331,CashReserveLevy!D255:F255,Final!$C$5:$C$331)),0)</f>
        <v>8801049</v>
      </c>
      <c r="I255" s="18">
        <f t="shared" si="16"/>
        <v>1760210</v>
      </c>
      <c r="J255" s="18">
        <f>ROUND(SUMPRODUCT(SUMIF(Final!$G$5:$G$331,CashReserveLevy!D255:F255,Final!$E$5:$E$331)),0)</f>
        <v>3751847</v>
      </c>
      <c r="K255" s="18">
        <f t="shared" si="17"/>
        <v>0</v>
      </c>
      <c r="L255" s="18">
        <f>INDEX(ActualCRLevy_SAS!$A$2:$D$328,MATCH(CashReserveLevy!$C255,ActualCRLevy_SAS!$B$2:$B$328,0),4)</f>
        <v>0</v>
      </c>
      <c r="M255" s="19" t="str">
        <f t="shared" si="18"/>
        <v/>
      </c>
      <c r="N255" s="1" t="str">
        <f t="shared" si="19"/>
        <v/>
      </c>
      <c r="O255" s="1" t="str">
        <f t="shared" si="20"/>
        <v/>
      </c>
    </row>
    <row r="256" spans="1:15" x14ac:dyDescent="0.2">
      <c r="A256" s="17">
        <v>2023</v>
      </c>
      <c r="B256" s="17" t="s">
        <v>8</v>
      </c>
      <c r="C256" s="17" t="s">
        <v>523</v>
      </c>
      <c r="D256" s="17" t="s">
        <v>697</v>
      </c>
      <c r="E256" s="17" t="s">
        <v>697</v>
      </c>
      <c r="F256" s="17" t="s">
        <v>523</v>
      </c>
      <c r="G256" s="17" t="s">
        <v>524</v>
      </c>
      <c r="H256" s="18">
        <f>ROUND(SUMPRODUCT(SUMIF(Final!$G$5:$G$331,CashReserveLevy!D256:F256,Final!$C$5:$C$331)),0)</f>
        <v>6080663</v>
      </c>
      <c r="I256" s="18">
        <f t="shared" si="16"/>
        <v>1216133</v>
      </c>
      <c r="J256" s="18">
        <f>ROUND(SUMPRODUCT(SUMIF(Final!$G$5:$G$331,CashReserveLevy!D256:F256,Final!$E$5:$E$331)),0)</f>
        <v>2047760</v>
      </c>
      <c r="K256" s="18">
        <f t="shared" si="17"/>
        <v>0</v>
      </c>
      <c r="L256" s="18">
        <f>INDEX(ActualCRLevy_SAS!$A$2:$D$328,MATCH(CashReserveLevy!$C256,ActualCRLevy_SAS!$B$2:$B$328,0),4)</f>
        <v>0</v>
      </c>
      <c r="M256" s="19" t="str">
        <f t="shared" si="18"/>
        <v/>
      </c>
      <c r="N256" s="1" t="str">
        <f t="shared" si="19"/>
        <v/>
      </c>
      <c r="O256" s="1" t="str">
        <f t="shared" si="20"/>
        <v/>
      </c>
    </row>
    <row r="257" spans="1:15" x14ac:dyDescent="0.2">
      <c r="A257" s="17">
        <v>2023</v>
      </c>
      <c r="B257" s="17" t="s">
        <v>17</v>
      </c>
      <c r="C257" s="17" t="s">
        <v>525</v>
      </c>
      <c r="D257" s="17" t="s">
        <v>697</v>
      </c>
      <c r="E257" s="17" t="s">
        <v>697</v>
      </c>
      <c r="F257" s="17" t="s">
        <v>525</v>
      </c>
      <c r="G257" s="17" t="s">
        <v>526</v>
      </c>
      <c r="H257" s="18">
        <f>ROUND(SUMPRODUCT(SUMIF(Final!$G$5:$G$331,CashReserveLevy!D257:F257,Final!$C$5:$C$331)),0)</f>
        <v>7078030</v>
      </c>
      <c r="I257" s="18">
        <f t="shared" si="16"/>
        <v>1415606</v>
      </c>
      <c r="J257" s="18">
        <f>ROUND(SUMPRODUCT(SUMIF(Final!$G$5:$G$331,CashReserveLevy!D257:F257,Final!$E$5:$E$331)),0)</f>
        <v>2746958</v>
      </c>
      <c r="K257" s="18">
        <f t="shared" si="17"/>
        <v>0</v>
      </c>
      <c r="L257" s="18">
        <f>INDEX(ActualCRLevy_SAS!$A$2:$D$328,MATCH(CashReserveLevy!$C257,ActualCRLevy_SAS!$B$2:$B$328,0),4)</f>
        <v>0</v>
      </c>
      <c r="M257" s="19" t="str">
        <f t="shared" si="18"/>
        <v/>
      </c>
      <c r="N257" s="1" t="str">
        <f t="shared" si="19"/>
        <v/>
      </c>
      <c r="O257" s="1" t="str">
        <f t="shared" si="20"/>
        <v/>
      </c>
    </row>
    <row r="258" spans="1:15" x14ac:dyDescent="0.2">
      <c r="A258" s="17">
        <v>2023</v>
      </c>
      <c r="B258" s="17" t="s">
        <v>11</v>
      </c>
      <c r="C258" s="17" t="s">
        <v>527</v>
      </c>
      <c r="D258" s="17" t="s">
        <v>697</v>
      </c>
      <c r="E258" s="17" t="s">
        <v>697</v>
      </c>
      <c r="F258" s="17" t="s">
        <v>527</v>
      </c>
      <c r="G258" s="17" t="s">
        <v>528</v>
      </c>
      <c r="H258" s="18">
        <f>ROUND(SUMPRODUCT(SUMIF(Final!$G$5:$G$331,CashReserveLevy!D258:F258,Final!$C$5:$C$331)),0)</f>
        <v>19770310</v>
      </c>
      <c r="I258" s="18">
        <f t="shared" si="16"/>
        <v>3954062</v>
      </c>
      <c r="J258" s="18">
        <f>ROUND(SUMPRODUCT(SUMIF(Final!$G$5:$G$331,CashReserveLevy!D258:F258,Final!$E$5:$E$331)),0)</f>
        <v>646670</v>
      </c>
      <c r="K258" s="18">
        <f t="shared" si="17"/>
        <v>3307392</v>
      </c>
      <c r="L258" s="18">
        <f>INDEX(ActualCRLevy_SAS!$A$2:$D$328,MATCH(CashReserveLevy!$C258,ActualCRLevy_SAS!$B$2:$B$328,0),4)</f>
        <v>1506880</v>
      </c>
      <c r="M258" s="19" t="str">
        <f t="shared" si="18"/>
        <v/>
      </c>
      <c r="N258" s="1" t="str">
        <f t="shared" si="19"/>
        <v/>
      </c>
      <c r="O258" s="1" t="str">
        <f t="shared" si="20"/>
        <v/>
      </c>
    </row>
    <row r="259" spans="1:15" x14ac:dyDescent="0.2">
      <c r="A259" s="17">
        <v>2023</v>
      </c>
      <c r="B259" s="17" t="s">
        <v>14</v>
      </c>
      <c r="C259" s="17" t="s">
        <v>529</v>
      </c>
      <c r="D259" s="17" t="s">
        <v>697</v>
      </c>
      <c r="E259" s="17" t="s">
        <v>697</v>
      </c>
      <c r="F259" s="17" t="s">
        <v>530</v>
      </c>
      <c r="G259" s="17" t="s">
        <v>531</v>
      </c>
      <c r="H259" s="18">
        <f>ROUND(SUMPRODUCT(SUMIF(Final!$G$5:$G$331,CashReserveLevy!D259:F259,Final!$C$5:$C$331)),0)</f>
        <v>7503119</v>
      </c>
      <c r="I259" s="18">
        <f t="shared" si="16"/>
        <v>1500624</v>
      </c>
      <c r="J259" s="18">
        <f>ROUND(SUMPRODUCT(SUMIF(Final!$G$5:$G$331,CashReserveLevy!D259:F259,Final!$E$5:$E$331)),0)</f>
        <v>3942217</v>
      </c>
      <c r="K259" s="18">
        <f t="shared" si="17"/>
        <v>0</v>
      </c>
      <c r="L259" s="18">
        <f>INDEX(ActualCRLevy_SAS!$A$2:$D$328,MATCH(CashReserveLevy!$C259,ActualCRLevy_SAS!$B$2:$B$328,0),4)</f>
        <v>0</v>
      </c>
      <c r="M259" s="19" t="str">
        <f t="shared" si="18"/>
        <v/>
      </c>
      <c r="N259" s="1" t="str">
        <f t="shared" si="19"/>
        <v/>
      </c>
      <c r="O259" s="1" t="str">
        <f t="shared" si="20"/>
        <v/>
      </c>
    </row>
    <row r="260" spans="1:15" x14ac:dyDescent="0.2">
      <c r="A260" s="17">
        <v>2023</v>
      </c>
      <c r="B260" s="17" t="s">
        <v>11</v>
      </c>
      <c r="C260" s="17" t="s">
        <v>532</v>
      </c>
      <c r="D260" s="17" t="s">
        <v>697</v>
      </c>
      <c r="E260" s="17" t="s">
        <v>697</v>
      </c>
      <c r="F260" s="17" t="s">
        <v>532</v>
      </c>
      <c r="G260" s="17" t="s">
        <v>533</v>
      </c>
      <c r="H260" s="18">
        <f>ROUND(SUMPRODUCT(SUMIF(Final!$G$5:$G$331,CashReserveLevy!D260:F260,Final!$C$5:$C$331)),0)</f>
        <v>175574034</v>
      </c>
      <c r="I260" s="18">
        <f t="shared" ref="I260:I323" si="21">ROUND(H260*0.2,0)</f>
        <v>35114807</v>
      </c>
      <c r="J260" s="18">
        <f>ROUND(SUMPRODUCT(SUMIF(Final!$G$5:$G$331,CashReserveLevy!D260:F260,Final!$E$5:$E$331)),0)</f>
        <v>52519874</v>
      </c>
      <c r="K260" s="18">
        <f t="shared" ref="K260:K323" si="22">IF(I260&gt;J260,I260-J260,0)</f>
        <v>0</v>
      </c>
      <c r="L260" s="18">
        <f>INDEX(ActualCRLevy_SAS!$A$2:$D$328,MATCH(CashReserveLevy!$C260,ActualCRLevy_SAS!$B$2:$B$328,0),4)</f>
        <v>0</v>
      </c>
      <c r="M260" s="19" t="str">
        <f t="shared" ref="M260:M323" si="23">IF(AND(L260=K260,K260&gt;0),"Max","")</f>
        <v/>
      </c>
      <c r="N260" s="1" t="str">
        <f t="shared" ref="N260:N323" si="24">IF(AND(L260&lt;K260,L260=0),"No Levy but have Capacity","")</f>
        <v/>
      </c>
      <c r="O260" s="1" t="str">
        <f t="shared" si="20"/>
        <v/>
      </c>
    </row>
    <row r="261" spans="1:15" x14ac:dyDescent="0.2">
      <c r="A261" s="17">
        <v>2023</v>
      </c>
      <c r="B261" s="17" t="s">
        <v>20</v>
      </c>
      <c r="C261" s="17" t="s">
        <v>534</v>
      </c>
      <c r="D261" s="17" t="s">
        <v>697</v>
      </c>
      <c r="E261" s="17" t="s">
        <v>697</v>
      </c>
      <c r="F261" s="17" t="s">
        <v>534</v>
      </c>
      <c r="G261" s="17" t="s">
        <v>535</v>
      </c>
      <c r="H261" s="18">
        <f>ROUND(SUMPRODUCT(SUMIF(Final!$G$5:$G$331,CashReserveLevy!D261:F261,Final!$C$5:$C$331)),0)</f>
        <v>15519023</v>
      </c>
      <c r="I261" s="18">
        <f t="shared" si="21"/>
        <v>3103805</v>
      </c>
      <c r="J261" s="18">
        <f>ROUND(SUMPRODUCT(SUMIF(Final!$G$5:$G$331,CashReserveLevy!D261:F261,Final!$E$5:$E$331)),0)</f>
        <v>3255088</v>
      </c>
      <c r="K261" s="18">
        <f t="shared" si="22"/>
        <v>0</v>
      </c>
      <c r="L261" s="18">
        <f>INDEX(ActualCRLevy_SAS!$A$2:$D$328,MATCH(CashReserveLevy!$C261,ActualCRLevy_SAS!$B$2:$B$328,0),4)</f>
        <v>0</v>
      </c>
      <c r="M261" s="19" t="str">
        <f t="shared" si="23"/>
        <v/>
      </c>
      <c r="N261" s="1" t="str">
        <f t="shared" si="24"/>
        <v/>
      </c>
      <c r="O261" s="1" t="str">
        <f t="shared" si="20"/>
        <v/>
      </c>
    </row>
    <row r="262" spans="1:15" x14ac:dyDescent="0.2">
      <c r="A262" s="17">
        <v>2023</v>
      </c>
      <c r="B262" s="17" t="s">
        <v>14</v>
      </c>
      <c r="C262" s="17" t="s">
        <v>536</v>
      </c>
      <c r="D262" s="17" t="s">
        <v>697</v>
      </c>
      <c r="E262" s="17" t="s">
        <v>697</v>
      </c>
      <c r="F262" s="17" t="s">
        <v>536</v>
      </c>
      <c r="G262" s="17" t="s">
        <v>537</v>
      </c>
      <c r="H262" s="18">
        <f>ROUND(SUMPRODUCT(SUMIF(Final!$G$5:$G$331,CashReserveLevy!D262:F262,Final!$C$5:$C$331)),0)</f>
        <v>11431991</v>
      </c>
      <c r="I262" s="18">
        <f t="shared" si="21"/>
        <v>2286398</v>
      </c>
      <c r="J262" s="18">
        <f>ROUND(SUMPRODUCT(SUMIF(Final!$G$5:$G$331,CashReserveLevy!D262:F262,Final!$E$5:$E$331)),0)</f>
        <v>9507664</v>
      </c>
      <c r="K262" s="18">
        <f t="shared" si="22"/>
        <v>0</v>
      </c>
      <c r="L262" s="18">
        <f>INDEX(ActualCRLevy_SAS!$A$2:$D$328,MATCH(CashReserveLevy!$C262,ActualCRLevy_SAS!$B$2:$B$328,0),4)</f>
        <v>0</v>
      </c>
      <c r="M262" s="19" t="str">
        <f t="shared" si="23"/>
        <v/>
      </c>
      <c r="N262" s="1" t="str">
        <f t="shared" si="24"/>
        <v/>
      </c>
      <c r="O262" s="1" t="str">
        <f t="shared" si="20"/>
        <v/>
      </c>
    </row>
    <row r="263" spans="1:15" x14ac:dyDescent="0.2">
      <c r="A263" s="17">
        <v>2023</v>
      </c>
      <c r="B263" s="17" t="s">
        <v>14</v>
      </c>
      <c r="C263" s="17" t="s">
        <v>538</v>
      </c>
      <c r="D263" s="17" t="s">
        <v>697</v>
      </c>
      <c r="E263" s="17" t="s">
        <v>697</v>
      </c>
      <c r="F263" s="17" t="s">
        <v>538</v>
      </c>
      <c r="G263" s="17" t="s">
        <v>539</v>
      </c>
      <c r="H263" s="18">
        <f>ROUND(SUMPRODUCT(SUMIF(Final!$G$5:$G$331,CashReserveLevy!D263:F263,Final!$C$5:$C$331)),0)</f>
        <v>8124947</v>
      </c>
      <c r="I263" s="18">
        <f t="shared" si="21"/>
        <v>1624989</v>
      </c>
      <c r="J263" s="18">
        <f>ROUND(SUMPRODUCT(SUMIF(Final!$G$5:$G$331,CashReserveLevy!D263:F263,Final!$E$5:$E$331)),0)</f>
        <v>2074736</v>
      </c>
      <c r="K263" s="18">
        <f t="shared" si="22"/>
        <v>0</v>
      </c>
      <c r="L263" s="18">
        <f>INDEX(ActualCRLevy_SAS!$A$2:$D$328,MATCH(CashReserveLevy!$C263,ActualCRLevy_SAS!$B$2:$B$328,0),4)</f>
        <v>0</v>
      </c>
      <c r="M263" s="19" t="str">
        <f t="shared" si="23"/>
        <v/>
      </c>
      <c r="N263" s="1" t="str">
        <f t="shared" si="24"/>
        <v/>
      </c>
      <c r="O263" s="1" t="str">
        <f t="shared" si="20"/>
        <v/>
      </c>
    </row>
    <row r="264" spans="1:15" x14ac:dyDescent="0.2">
      <c r="A264" s="17">
        <v>2023</v>
      </c>
      <c r="B264" s="17" t="s">
        <v>11</v>
      </c>
      <c r="C264" s="17" t="s">
        <v>540</v>
      </c>
      <c r="D264" s="17" t="s">
        <v>697</v>
      </c>
      <c r="E264" s="17" t="s">
        <v>697</v>
      </c>
      <c r="F264" s="17" t="s">
        <v>541</v>
      </c>
      <c r="G264" s="17" t="s">
        <v>542</v>
      </c>
      <c r="H264" s="18">
        <f>ROUND(SUMPRODUCT(SUMIF(Final!$G$5:$G$331,CashReserveLevy!D264:F264,Final!$C$5:$C$331)),0)</f>
        <v>7682383</v>
      </c>
      <c r="I264" s="18">
        <f t="shared" si="21"/>
        <v>1536477</v>
      </c>
      <c r="J264" s="18">
        <f>ROUND(SUMPRODUCT(SUMIF(Final!$G$5:$G$331,CashReserveLevy!D264:F264,Final!$E$5:$E$331)),0)</f>
        <v>946416</v>
      </c>
      <c r="K264" s="18">
        <f t="shared" si="22"/>
        <v>590061</v>
      </c>
      <c r="L264" s="18">
        <f>INDEX(ActualCRLevy_SAS!$A$2:$D$328,MATCH(CashReserveLevy!$C264,ActualCRLevy_SAS!$B$2:$B$328,0),4)</f>
        <v>302381</v>
      </c>
      <c r="M264" s="19" t="str">
        <f t="shared" si="23"/>
        <v/>
      </c>
      <c r="N264" s="1" t="str">
        <f t="shared" si="24"/>
        <v/>
      </c>
      <c r="O264" s="1" t="str">
        <f t="shared" si="20"/>
        <v/>
      </c>
    </row>
    <row r="265" spans="1:15" x14ac:dyDescent="0.2">
      <c r="A265" s="17">
        <v>2023</v>
      </c>
      <c r="B265" s="17" t="s">
        <v>8</v>
      </c>
      <c r="C265" s="17" t="s">
        <v>543</v>
      </c>
      <c r="D265" s="17" t="s">
        <v>697</v>
      </c>
      <c r="E265" s="17" t="s">
        <v>697</v>
      </c>
      <c r="F265" s="17" t="s">
        <v>543</v>
      </c>
      <c r="G265" s="17" t="s">
        <v>544</v>
      </c>
      <c r="H265" s="18">
        <f>ROUND(SUMPRODUCT(SUMIF(Final!$G$5:$G$331,CashReserveLevy!D265:F265,Final!$C$5:$C$331)),0)</f>
        <v>3020002</v>
      </c>
      <c r="I265" s="18">
        <f t="shared" si="21"/>
        <v>604000</v>
      </c>
      <c r="J265" s="18">
        <f>ROUND(SUMPRODUCT(SUMIF(Final!$G$5:$G$331,CashReserveLevy!D265:F265,Final!$E$5:$E$331)),0)</f>
        <v>413118</v>
      </c>
      <c r="K265" s="18">
        <f t="shared" si="22"/>
        <v>190882</v>
      </c>
      <c r="L265" s="18">
        <f>INDEX(ActualCRLevy_SAS!$A$2:$D$328,MATCH(CashReserveLevy!$C265,ActualCRLevy_SAS!$B$2:$B$328,0),4)</f>
        <v>190882</v>
      </c>
      <c r="M265" s="19" t="str">
        <f t="shared" si="23"/>
        <v>Max</v>
      </c>
      <c r="N265" s="1" t="str">
        <f t="shared" si="24"/>
        <v/>
      </c>
      <c r="O265" s="1" t="str">
        <f t="shared" si="20"/>
        <v/>
      </c>
    </row>
    <row r="266" spans="1:15" x14ac:dyDescent="0.2">
      <c r="A266" s="17">
        <v>2023</v>
      </c>
      <c r="B266" s="17" t="s">
        <v>5</v>
      </c>
      <c r="C266" s="17" t="s">
        <v>545</v>
      </c>
      <c r="D266" s="17" t="s">
        <v>697</v>
      </c>
      <c r="E266" s="17" t="s">
        <v>697</v>
      </c>
      <c r="F266" s="17" t="s">
        <v>545</v>
      </c>
      <c r="G266" s="17" t="s">
        <v>546</v>
      </c>
      <c r="H266" s="18">
        <f>ROUND(SUMPRODUCT(SUMIF(Final!$G$5:$G$331,CashReserveLevy!D266:F266,Final!$C$5:$C$331)),0)</f>
        <v>19104908</v>
      </c>
      <c r="I266" s="18">
        <f t="shared" si="21"/>
        <v>3820982</v>
      </c>
      <c r="J266" s="18">
        <f>ROUND(SUMPRODUCT(SUMIF(Final!$G$5:$G$331,CashReserveLevy!D266:F266,Final!$E$5:$E$331)),0)</f>
        <v>4861319</v>
      </c>
      <c r="K266" s="18">
        <f t="shared" si="22"/>
        <v>0</v>
      </c>
      <c r="L266" s="18">
        <f>INDEX(ActualCRLevy_SAS!$A$2:$D$328,MATCH(CashReserveLevy!$C266,ActualCRLevy_SAS!$B$2:$B$328,0),4)</f>
        <v>0</v>
      </c>
      <c r="M266" s="19" t="str">
        <f t="shared" si="23"/>
        <v/>
      </c>
      <c r="N266" s="1" t="str">
        <f t="shared" si="24"/>
        <v/>
      </c>
      <c r="O266" s="1" t="str">
        <f t="shared" si="20"/>
        <v/>
      </c>
    </row>
    <row r="267" spans="1:15" x14ac:dyDescent="0.2">
      <c r="A267" s="17">
        <v>2023</v>
      </c>
      <c r="B267" s="17" t="s">
        <v>28</v>
      </c>
      <c r="C267" s="17" t="s">
        <v>547</v>
      </c>
      <c r="D267" s="17" t="s">
        <v>697</v>
      </c>
      <c r="E267" s="17" t="s">
        <v>697</v>
      </c>
      <c r="F267" s="17" t="s">
        <v>547</v>
      </c>
      <c r="G267" s="17" t="s">
        <v>548</v>
      </c>
      <c r="H267" s="18">
        <f>ROUND(SUMPRODUCT(SUMIF(Final!$G$5:$G$331,CashReserveLevy!D267:F267,Final!$C$5:$C$331)),0)</f>
        <v>7651672</v>
      </c>
      <c r="I267" s="18">
        <f t="shared" si="21"/>
        <v>1530334</v>
      </c>
      <c r="J267" s="18">
        <f>ROUND(SUMPRODUCT(SUMIF(Final!$G$5:$G$331,CashReserveLevy!D267:F267,Final!$E$5:$E$331)),0)</f>
        <v>517089</v>
      </c>
      <c r="K267" s="18">
        <f t="shared" si="22"/>
        <v>1013245</v>
      </c>
      <c r="L267" s="18">
        <f>INDEX(ActualCRLevy_SAS!$A$2:$D$328,MATCH(CashReserveLevy!$C267,ActualCRLevy_SAS!$B$2:$B$328,0),4)</f>
        <v>760041</v>
      </c>
      <c r="M267" s="19" t="str">
        <f t="shared" si="23"/>
        <v/>
      </c>
      <c r="N267" s="1" t="str">
        <f t="shared" si="24"/>
        <v/>
      </c>
      <c r="O267" s="1" t="str">
        <f t="shared" si="20"/>
        <v/>
      </c>
    </row>
    <row r="268" spans="1:15" x14ac:dyDescent="0.2">
      <c r="A268" s="17">
        <v>2023</v>
      </c>
      <c r="B268" s="17" t="s">
        <v>0</v>
      </c>
      <c r="C268" s="17" t="s">
        <v>549</v>
      </c>
      <c r="D268" s="17" t="s">
        <v>697</v>
      </c>
      <c r="E268" s="17" t="s">
        <v>697</v>
      </c>
      <c r="F268" s="17" t="s">
        <v>549</v>
      </c>
      <c r="G268" s="17" t="s">
        <v>550</v>
      </c>
      <c r="H268" s="18">
        <f>ROUND(SUMPRODUCT(SUMIF(Final!$G$5:$G$331,CashReserveLevy!D268:F268,Final!$C$5:$C$331)),0)</f>
        <v>84423300</v>
      </c>
      <c r="I268" s="18">
        <f t="shared" si="21"/>
        <v>16884660</v>
      </c>
      <c r="J268" s="18">
        <f>ROUND(SUMPRODUCT(SUMIF(Final!$G$5:$G$331,CashReserveLevy!D268:F268,Final!$E$5:$E$331)),0)</f>
        <v>12641572</v>
      </c>
      <c r="K268" s="18">
        <f t="shared" si="22"/>
        <v>4243088</v>
      </c>
      <c r="L268" s="18">
        <f>INDEX(ActualCRLevy_SAS!$A$2:$D$328,MATCH(CashReserveLevy!$C268,ActualCRLevy_SAS!$B$2:$B$328,0),4)</f>
        <v>2982249</v>
      </c>
      <c r="M268" s="19" t="str">
        <f t="shared" si="23"/>
        <v/>
      </c>
      <c r="N268" s="1" t="str">
        <f t="shared" si="24"/>
        <v/>
      </c>
      <c r="O268" s="1" t="str">
        <f t="shared" si="20"/>
        <v/>
      </c>
    </row>
    <row r="269" spans="1:15" x14ac:dyDescent="0.2">
      <c r="A269" s="17">
        <v>2023</v>
      </c>
      <c r="B269" s="17" t="s">
        <v>0</v>
      </c>
      <c r="C269" s="17" t="s">
        <v>551</v>
      </c>
      <c r="D269" s="17" t="s">
        <v>697</v>
      </c>
      <c r="E269" s="17" t="s">
        <v>697</v>
      </c>
      <c r="F269" s="17" t="s">
        <v>551</v>
      </c>
      <c r="G269" s="17" t="s">
        <v>552</v>
      </c>
      <c r="H269" s="18">
        <f>ROUND(SUMPRODUCT(SUMIF(Final!$G$5:$G$331,CashReserveLevy!D269:F269,Final!$C$5:$C$331)),0)</f>
        <v>7033166</v>
      </c>
      <c r="I269" s="18">
        <f t="shared" si="21"/>
        <v>1406633</v>
      </c>
      <c r="J269" s="18">
        <f>ROUND(SUMPRODUCT(SUMIF(Final!$G$5:$G$331,CashReserveLevy!D269:F269,Final!$E$5:$E$331)),0)</f>
        <v>1520743</v>
      </c>
      <c r="K269" s="18">
        <f t="shared" si="22"/>
        <v>0</v>
      </c>
      <c r="L269" s="18">
        <f>INDEX(ActualCRLevy_SAS!$A$2:$D$328,MATCH(CashReserveLevy!$C269,ActualCRLevy_SAS!$B$2:$B$328,0),4)</f>
        <v>0</v>
      </c>
      <c r="M269" s="19" t="str">
        <f t="shared" si="23"/>
        <v/>
      </c>
      <c r="N269" s="1" t="str">
        <f t="shared" si="24"/>
        <v/>
      </c>
      <c r="O269" s="1" t="str">
        <f t="shared" ref="O269:O328" si="25">IF(L269&gt;K269,"Exceedes Maximum Limit","")</f>
        <v/>
      </c>
    </row>
    <row r="270" spans="1:15" x14ac:dyDescent="0.2">
      <c r="A270" s="17">
        <v>2023</v>
      </c>
      <c r="B270" s="17" t="s">
        <v>14</v>
      </c>
      <c r="C270" s="17" t="s">
        <v>553</v>
      </c>
      <c r="D270" s="17" t="s">
        <v>697</v>
      </c>
      <c r="E270" s="17" t="s">
        <v>697</v>
      </c>
      <c r="F270" s="17" t="s">
        <v>553</v>
      </c>
      <c r="G270" s="17" t="s">
        <v>554</v>
      </c>
      <c r="H270" s="18">
        <f>ROUND(SUMPRODUCT(SUMIF(Final!$G$5:$G$331,CashReserveLevy!D270:F270,Final!$C$5:$C$331)),0)</f>
        <v>7798989</v>
      </c>
      <c r="I270" s="18">
        <f t="shared" si="21"/>
        <v>1559798</v>
      </c>
      <c r="J270" s="18">
        <f>ROUND(SUMPRODUCT(SUMIF(Final!$G$5:$G$331,CashReserveLevy!D270:F270,Final!$E$5:$E$331)),0)</f>
        <v>4534265</v>
      </c>
      <c r="K270" s="18">
        <f t="shared" si="22"/>
        <v>0</v>
      </c>
      <c r="L270" s="18">
        <f>INDEX(ActualCRLevy_SAS!$A$2:$D$328,MATCH(CashReserveLevy!$C270,ActualCRLevy_SAS!$B$2:$B$328,0),4)</f>
        <v>0</v>
      </c>
      <c r="M270" s="19" t="str">
        <f t="shared" si="23"/>
        <v/>
      </c>
      <c r="N270" s="1" t="str">
        <f t="shared" si="24"/>
        <v/>
      </c>
      <c r="O270" s="1" t="str">
        <f t="shared" si="25"/>
        <v/>
      </c>
    </row>
    <row r="271" spans="1:15" x14ac:dyDescent="0.2">
      <c r="A271" s="17">
        <v>2023</v>
      </c>
      <c r="B271" s="17" t="s">
        <v>14</v>
      </c>
      <c r="C271" s="17" t="s">
        <v>555</v>
      </c>
      <c r="D271" s="17" t="s">
        <v>697</v>
      </c>
      <c r="E271" s="17" t="s">
        <v>697</v>
      </c>
      <c r="F271" s="17" t="s">
        <v>555</v>
      </c>
      <c r="G271" s="17" t="s">
        <v>556</v>
      </c>
      <c r="H271" s="18">
        <f>ROUND(SUMPRODUCT(SUMIF(Final!$G$5:$G$331,CashReserveLevy!D271:F271,Final!$C$5:$C$331)),0)</f>
        <v>26407505</v>
      </c>
      <c r="I271" s="18">
        <f t="shared" si="21"/>
        <v>5281501</v>
      </c>
      <c r="J271" s="18">
        <f>ROUND(SUMPRODUCT(SUMIF(Final!$G$5:$G$331,CashReserveLevy!D271:F271,Final!$E$5:$E$331)),0)</f>
        <v>4402965</v>
      </c>
      <c r="K271" s="18">
        <f t="shared" si="22"/>
        <v>878536</v>
      </c>
      <c r="L271" s="18">
        <f>INDEX(ActualCRLevy_SAS!$A$2:$D$328,MATCH(CashReserveLevy!$C271,ActualCRLevy_SAS!$B$2:$B$328,0),4)</f>
        <v>878536</v>
      </c>
      <c r="M271" s="19" t="str">
        <f t="shared" si="23"/>
        <v>Max</v>
      </c>
      <c r="N271" s="1" t="str">
        <f t="shared" si="24"/>
        <v/>
      </c>
      <c r="O271" s="1" t="str">
        <f t="shared" si="25"/>
        <v/>
      </c>
    </row>
    <row r="272" spans="1:15" x14ac:dyDescent="0.2">
      <c r="A272" s="17">
        <v>2023</v>
      </c>
      <c r="B272" s="17" t="s">
        <v>14</v>
      </c>
      <c r="C272" s="17" t="s">
        <v>557</v>
      </c>
      <c r="D272" s="17" t="s">
        <v>697</v>
      </c>
      <c r="E272" s="17" t="s">
        <v>697</v>
      </c>
      <c r="F272" s="17" t="s">
        <v>557</v>
      </c>
      <c r="G272" s="17" t="s">
        <v>558</v>
      </c>
      <c r="H272" s="18">
        <f>ROUND(SUMPRODUCT(SUMIF(Final!$G$5:$G$331,CashReserveLevy!D272:F272,Final!$C$5:$C$331)),0)</f>
        <v>14434088</v>
      </c>
      <c r="I272" s="18">
        <f t="shared" si="21"/>
        <v>2886818</v>
      </c>
      <c r="J272" s="18">
        <f>ROUND(SUMPRODUCT(SUMIF(Final!$G$5:$G$331,CashReserveLevy!D272:F272,Final!$E$5:$E$331)),0)</f>
        <v>3478868</v>
      </c>
      <c r="K272" s="18">
        <f t="shared" si="22"/>
        <v>0</v>
      </c>
      <c r="L272" s="18">
        <f>INDEX(ActualCRLevy_SAS!$A$2:$D$328,MATCH(CashReserveLevy!$C272,ActualCRLevy_SAS!$B$2:$B$328,0),4)</f>
        <v>0</v>
      </c>
      <c r="M272" s="19" t="str">
        <f t="shared" si="23"/>
        <v/>
      </c>
      <c r="N272" s="1" t="str">
        <f t="shared" si="24"/>
        <v/>
      </c>
      <c r="O272" s="1" t="str">
        <f t="shared" si="25"/>
        <v/>
      </c>
    </row>
    <row r="273" spans="1:15" x14ac:dyDescent="0.2">
      <c r="A273" s="17">
        <v>2023</v>
      </c>
      <c r="B273" s="17" t="s">
        <v>20</v>
      </c>
      <c r="C273" s="17" t="s">
        <v>559</v>
      </c>
      <c r="D273" s="17" t="s">
        <v>697</v>
      </c>
      <c r="E273" s="17" t="s">
        <v>697</v>
      </c>
      <c r="F273" s="17" t="s">
        <v>559</v>
      </c>
      <c r="G273" s="17" t="s">
        <v>560</v>
      </c>
      <c r="H273" s="18">
        <f>ROUND(SUMPRODUCT(SUMIF(Final!$G$5:$G$331,CashReserveLevy!D273:F273,Final!$C$5:$C$331)),0)</f>
        <v>5298228</v>
      </c>
      <c r="I273" s="18">
        <f t="shared" si="21"/>
        <v>1059646</v>
      </c>
      <c r="J273" s="18">
        <f>ROUND(SUMPRODUCT(SUMIF(Final!$G$5:$G$331,CashReserveLevy!D273:F273,Final!$E$5:$E$331)),0)</f>
        <v>1531561</v>
      </c>
      <c r="K273" s="18">
        <f t="shared" si="22"/>
        <v>0</v>
      </c>
      <c r="L273" s="18">
        <f>INDEX(ActualCRLevy_SAS!$A$2:$D$328,MATCH(CashReserveLevy!$C273,ActualCRLevy_SAS!$B$2:$B$328,0),4)</f>
        <v>0</v>
      </c>
      <c r="M273" s="19" t="str">
        <f t="shared" si="23"/>
        <v/>
      </c>
      <c r="N273" s="1" t="str">
        <f t="shared" si="24"/>
        <v/>
      </c>
      <c r="O273" s="1" t="str">
        <f t="shared" si="25"/>
        <v/>
      </c>
    </row>
    <row r="274" spans="1:15" x14ac:dyDescent="0.2">
      <c r="A274" s="17">
        <v>2023</v>
      </c>
      <c r="B274" s="17" t="s">
        <v>5</v>
      </c>
      <c r="C274" s="17" t="s">
        <v>561</v>
      </c>
      <c r="D274" s="17" t="s">
        <v>697</v>
      </c>
      <c r="E274" s="17" t="s">
        <v>697</v>
      </c>
      <c r="F274" s="17" t="s">
        <v>561</v>
      </c>
      <c r="G274" s="17" t="s">
        <v>562</v>
      </c>
      <c r="H274" s="18">
        <f>ROUND(SUMPRODUCT(SUMIF(Final!$G$5:$G$331,CashReserveLevy!D274:F274,Final!$C$5:$C$331)),0)</f>
        <v>7446219</v>
      </c>
      <c r="I274" s="18">
        <f t="shared" si="21"/>
        <v>1489244</v>
      </c>
      <c r="J274" s="18">
        <f>ROUND(SUMPRODUCT(SUMIF(Final!$G$5:$G$331,CashReserveLevy!D274:F274,Final!$E$5:$E$331)),0)</f>
        <v>973532</v>
      </c>
      <c r="K274" s="18">
        <f t="shared" si="22"/>
        <v>515712</v>
      </c>
      <c r="L274" s="18">
        <f>INDEX(ActualCRLevy_SAS!$A$2:$D$328,MATCH(CashReserveLevy!$C274,ActualCRLevy_SAS!$B$2:$B$328,0),4)</f>
        <v>0</v>
      </c>
      <c r="M274" s="19" t="str">
        <f t="shared" si="23"/>
        <v/>
      </c>
      <c r="N274" s="1" t="str">
        <f t="shared" si="24"/>
        <v>No Levy but have Capacity</v>
      </c>
      <c r="O274" s="1" t="str">
        <f t="shared" si="25"/>
        <v/>
      </c>
    </row>
    <row r="275" spans="1:15" x14ac:dyDescent="0.2">
      <c r="A275" s="17">
        <v>2023</v>
      </c>
      <c r="B275" s="17" t="s">
        <v>8</v>
      </c>
      <c r="C275" s="17" t="s">
        <v>563</v>
      </c>
      <c r="D275" s="17" t="s">
        <v>697</v>
      </c>
      <c r="E275" s="17" t="s">
        <v>697</v>
      </c>
      <c r="F275" s="17" t="s">
        <v>563</v>
      </c>
      <c r="G275" s="17" t="s">
        <v>564</v>
      </c>
      <c r="H275" s="18">
        <f>ROUND(SUMPRODUCT(SUMIF(Final!$G$5:$G$331,CashReserveLevy!D275:F275,Final!$C$5:$C$331)),0)</f>
        <v>3131870</v>
      </c>
      <c r="I275" s="18">
        <f t="shared" si="21"/>
        <v>626374</v>
      </c>
      <c r="J275" s="18">
        <f>ROUND(SUMPRODUCT(SUMIF(Final!$G$5:$G$331,CashReserveLevy!D275:F275,Final!$E$5:$E$331)),0)</f>
        <v>1379848</v>
      </c>
      <c r="K275" s="18">
        <f t="shared" si="22"/>
        <v>0</v>
      </c>
      <c r="L275" s="18">
        <f>INDEX(ActualCRLevy_SAS!$A$2:$D$328,MATCH(CashReserveLevy!$C275,ActualCRLevy_SAS!$B$2:$B$328,0),4)</f>
        <v>0</v>
      </c>
      <c r="M275" s="19" t="str">
        <f t="shared" si="23"/>
        <v/>
      </c>
      <c r="N275" s="1" t="str">
        <f t="shared" si="24"/>
        <v/>
      </c>
      <c r="O275" s="1" t="str">
        <f t="shared" si="25"/>
        <v/>
      </c>
    </row>
    <row r="276" spans="1:15" x14ac:dyDescent="0.2">
      <c r="A276" s="17">
        <v>2023</v>
      </c>
      <c r="B276" s="17" t="s">
        <v>28</v>
      </c>
      <c r="C276" s="17" t="s">
        <v>565</v>
      </c>
      <c r="D276" s="17" t="s">
        <v>697</v>
      </c>
      <c r="E276" s="17" t="s">
        <v>697</v>
      </c>
      <c r="F276" s="17" t="s">
        <v>565</v>
      </c>
      <c r="G276" s="17" t="s">
        <v>566</v>
      </c>
      <c r="H276" s="18">
        <f>ROUND(SUMPRODUCT(SUMIF(Final!$G$5:$G$331,CashReserveLevy!D276:F276,Final!$C$5:$C$331)),0)</f>
        <v>8371770</v>
      </c>
      <c r="I276" s="18">
        <f t="shared" si="21"/>
        <v>1674354</v>
      </c>
      <c r="J276" s="18">
        <f>ROUND(SUMPRODUCT(SUMIF(Final!$G$5:$G$331,CashReserveLevy!D276:F276,Final!$E$5:$E$331)),0)</f>
        <v>3334673</v>
      </c>
      <c r="K276" s="18">
        <f t="shared" si="22"/>
        <v>0</v>
      </c>
      <c r="L276" s="18">
        <f>INDEX(ActualCRLevy_SAS!$A$2:$D$328,MATCH(CashReserveLevy!$C276,ActualCRLevy_SAS!$B$2:$B$328,0),4)</f>
        <v>0</v>
      </c>
      <c r="M276" s="19" t="str">
        <f t="shared" si="23"/>
        <v/>
      </c>
      <c r="N276" s="1" t="str">
        <f t="shared" si="24"/>
        <v/>
      </c>
      <c r="O276" s="1" t="str">
        <f t="shared" si="25"/>
        <v/>
      </c>
    </row>
    <row r="277" spans="1:15" x14ac:dyDescent="0.2">
      <c r="A277" s="17">
        <v>2023</v>
      </c>
      <c r="B277" s="17" t="s">
        <v>14</v>
      </c>
      <c r="C277" s="17" t="s">
        <v>567</v>
      </c>
      <c r="D277" s="17" t="s">
        <v>697</v>
      </c>
      <c r="E277" s="17" t="s">
        <v>697</v>
      </c>
      <c r="F277" s="17" t="s">
        <v>567</v>
      </c>
      <c r="G277" s="17" t="s">
        <v>568</v>
      </c>
      <c r="H277" s="18">
        <f>ROUND(SUMPRODUCT(SUMIF(Final!$G$5:$G$331,CashReserveLevy!D277:F277,Final!$C$5:$C$331)),0)</f>
        <v>31930392</v>
      </c>
      <c r="I277" s="18">
        <f t="shared" si="21"/>
        <v>6386078</v>
      </c>
      <c r="J277" s="18">
        <f>ROUND(SUMPRODUCT(SUMIF(Final!$G$5:$G$331,CashReserveLevy!D277:F277,Final!$E$5:$E$331)),0)</f>
        <v>5801024</v>
      </c>
      <c r="K277" s="18">
        <f t="shared" si="22"/>
        <v>585054</v>
      </c>
      <c r="L277" s="18">
        <f>INDEX(ActualCRLevy_SAS!$A$2:$D$328,MATCH(CashReserveLevy!$C277,ActualCRLevy_SAS!$B$2:$B$328,0),4)</f>
        <v>372300</v>
      </c>
      <c r="M277" s="19" t="str">
        <f t="shared" si="23"/>
        <v/>
      </c>
      <c r="N277" s="1" t="str">
        <f t="shared" si="24"/>
        <v/>
      </c>
      <c r="O277" s="1" t="str">
        <f t="shared" si="25"/>
        <v/>
      </c>
    </row>
    <row r="278" spans="1:15" x14ac:dyDescent="0.2">
      <c r="A278" s="17">
        <v>2023</v>
      </c>
      <c r="B278" s="17" t="s">
        <v>14</v>
      </c>
      <c r="C278" s="17" t="s">
        <v>569</v>
      </c>
      <c r="D278" s="17" t="s">
        <v>697</v>
      </c>
      <c r="E278" s="17" t="s">
        <v>697</v>
      </c>
      <c r="F278" s="17" t="s">
        <v>569</v>
      </c>
      <c r="G278" s="17" t="s">
        <v>570</v>
      </c>
      <c r="H278" s="18">
        <f>ROUND(SUMPRODUCT(SUMIF(Final!$G$5:$G$331,CashReserveLevy!D278:F278,Final!$C$5:$C$331)),0)</f>
        <v>2108345</v>
      </c>
      <c r="I278" s="18">
        <f t="shared" si="21"/>
        <v>421669</v>
      </c>
      <c r="J278" s="18">
        <f>ROUND(SUMPRODUCT(SUMIF(Final!$G$5:$G$331,CashReserveLevy!D278:F278,Final!$E$5:$E$331)),0)</f>
        <v>276571</v>
      </c>
      <c r="K278" s="18">
        <f t="shared" si="22"/>
        <v>145098</v>
      </c>
      <c r="L278" s="18">
        <f>INDEX(ActualCRLevy_SAS!$A$2:$D$328,MATCH(CashReserveLevy!$C278,ActualCRLevy_SAS!$B$2:$B$328,0),4)</f>
        <v>145098</v>
      </c>
      <c r="M278" s="19" t="str">
        <f t="shared" si="23"/>
        <v>Max</v>
      </c>
      <c r="N278" s="1" t="str">
        <f t="shared" si="24"/>
        <v/>
      </c>
      <c r="O278" s="1" t="str">
        <f t="shared" si="25"/>
        <v/>
      </c>
    </row>
    <row r="279" spans="1:15" x14ac:dyDescent="0.2">
      <c r="A279" s="17">
        <v>2023</v>
      </c>
      <c r="B279" s="17" t="s">
        <v>5</v>
      </c>
      <c r="C279" s="17" t="s">
        <v>571</v>
      </c>
      <c r="D279" s="17" t="s">
        <v>697</v>
      </c>
      <c r="E279" s="17" t="s">
        <v>697</v>
      </c>
      <c r="F279" s="17" t="s">
        <v>571</v>
      </c>
      <c r="G279" s="17" t="s">
        <v>572</v>
      </c>
      <c r="H279" s="18">
        <f>ROUND(SUMPRODUCT(SUMIF(Final!$G$5:$G$331,CashReserveLevy!D279:F279,Final!$C$5:$C$331)),0)</f>
        <v>10004459</v>
      </c>
      <c r="I279" s="18">
        <f t="shared" si="21"/>
        <v>2000892</v>
      </c>
      <c r="J279" s="18">
        <f>ROUND(SUMPRODUCT(SUMIF(Final!$G$5:$G$331,CashReserveLevy!D279:F279,Final!$E$5:$E$331)),0)</f>
        <v>1063096</v>
      </c>
      <c r="K279" s="18">
        <f t="shared" si="22"/>
        <v>937796</v>
      </c>
      <c r="L279" s="18">
        <f>INDEX(ActualCRLevy_SAS!$A$2:$D$328,MATCH(CashReserveLevy!$C279,ActualCRLevy_SAS!$B$2:$B$328,0),4)</f>
        <v>353256</v>
      </c>
      <c r="M279" s="19" t="str">
        <f t="shared" si="23"/>
        <v/>
      </c>
      <c r="N279" s="1" t="str">
        <f t="shared" si="24"/>
        <v/>
      </c>
      <c r="O279" s="1" t="str">
        <f t="shared" si="25"/>
        <v/>
      </c>
    </row>
    <row r="280" spans="1:15" x14ac:dyDescent="0.2">
      <c r="A280" s="17">
        <v>2023</v>
      </c>
      <c r="B280" s="17" t="s">
        <v>20</v>
      </c>
      <c r="C280" s="17" t="s">
        <v>573</v>
      </c>
      <c r="D280" s="17" t="s">
        <v>697</v>
      </c>
      <c r="E280" s="17" t="s">
        <v>697</v>
      </c>
      <c r="F280" s="17" t="s">
        <v>573</v>
      </c>
      <c r="G280" s="17" t="s">
        <v>574</v>
      </c>
      <c r="H280" s="18">
        <f>ROUND(SUMPRODUCT(SUMIF(Final!$G$5:$G$331,CashReserveLevy!D280:F280,Final!$C$5:$C$331)),0)</f>
        <v>10956807</v>
      </c>
      <c r="I280" s="18">
        <f t="shared" si="21"/>
        <v>2191361</v>
      </c>
      <c r="J280" s="18">
        <f>ROUND(SUMPRODUCT(SUMIF(Final!$G$5:$G$331,CashReserveLevy!D280:F280,Final!$E$5:$E$331)),0)</f>
        <v>2099876</v>
      </c>
      <c r="K280" s="18">
        <f t="shared" si="22"/>
        <v>91485</v>
      </c>
      <c r="L280" s="18">
        <f>INDEX(ActualCRLevy_SAS!$A$2:$D$328,MATCH(CashReserveLevy!$C280,ActualCRLevy_SAS!$B$2:$B$328,0),4)</f>
        <v>91485</v>
      </c>
      <c r="M280" s="19" t="str">
        <f t="shared" si="23"/>
        <v>Max</v>
      </c>
      <c r="N280" s="1" t="str">
        <f t="shared" si="24"/>
        <v/>
      </c>
      <c r="O280" s="1" t="str">
        <f t="shared" si="25"/>
        <v/>
      </c>
    </row>
    <row r="281" spans="1:15" x14ac:dyDescent="0.2">
      <c r="A281" s="17">
        <v>2023</v>
      </c>
      <c r="B281" s="17" t="s">
        <v>8</v>
      </c>
      <c r="C281" s="17" t="s">
        <v>575</v>
      </c>
      <c r="D281" s="17" t="s">
        <v>697</v>
      </c>
      <c r="E281" s="17" t="s">
        <v>697</v>
      </c>
      <c r="F281" s="17" t="s">
        <v>575</v>
      </c>
      <c r="G281" s="17" t="s">
        <v>576</v>
      </c>
      <c r="H281" s="18">
        <f>ROUND(SUMPRODUCT(SUMIF(Final!$G$5:$G$331,CashReserveLevy!D281:F281,Final!$C$5:$C$331)),0)</f>
        <v>8374956</v>
      </c>
      <c r="I281" s="18">
        <f t="shared" si="21"/>
        <v>1674991</v>
      </c>
      <c r="J281" s="18">
        <f>ROUND(SUMPRODUCT(SUMIF(Final!$G$5:$G$331,CashReserveLevy!D281:F281,Final!$E$5:$E$331)),0)</f>
        <v>2302956</v>
      </c>
      <c r="K281" s="18">
        <f t="shared" si="22"/>
        <v>0</v>
      </c>
      <c r="L281" s="18">
        <f>INDEX(ActualCRLevy_SAS!$A$2:$D$328,MATCH(CashReserveLevy!$C281,ActualCRLevy_SAS!$B$2:$B$328,0),4)</f>
        <v>0</v>
      </c>
      <c r="M281" s="19" t="str">
        <f t="shared" si="23"/>
        <v/>
      </c>
      <c r="N281" s="1" t="str">
        <f t="shared" si="24"/>
        <v/>
      </c>
      <c r="O281" s="1" t="str">
        <f t="shared" si="25"/>
        <v/>
      </c>
    </row>
    <row r="282" spans="1:15" x14ac:dyDescent="0.2">
      <c r="A282" s="17">
        <v>2023</v>
      </c>
      <c r="B282" s="17" t="s">
        <v>8</v>
      </c>
      <c r="C282" s="17" t="s">
        <v>577</v>
      </c>
      <c r="D282" s="17" t="s">
        <v>697</v>
      </c>
      <c r="E282" s="17" t="s">
        <v>697</v>
      </c>
      <c r="F282" s="17" t="s">
        <v>577</v>
      </c>
      <c r="G282" s="17" t="s">
        <v>578</v>
      </c>
      <c r="H282" s="18">
        <f>ROUND(SUMPRODUCT(SUMIF(Final!$G$5:$G$331,CashReserveLevy!D282:F282,Final!$C$5:$C$331)),0)</f>
        <v>8356015</v>
      </c>
      <c r="I282" s="18">
        <f t="shared" si="21"/>
        <v>1671203</v>
      </c>
      <c r="J282" s="18">
        <f>ROUND(SUMPRODUCT(SUMIF(Final!$G$5:$G$331,CashReserveLevy!D282:F282,Final!$E$5:$E$331)),0)</f>
        <v>2574723</v>
      </c>
      <c r="K282" s="18">
        <f t="shared" si="22"/>
        <v>0</v>
      </c>
      <c r="L282" s="18">
        <f>INDEX(ActualCRLevy_SAS!$A$2:$D$328,MATCH(CashReserveLevy!$C282,ActualCRLevy_SAS!$B$2:$B$328,0),4)</f>
        <v>0</v>
      </c>
      <c r="M282" s="19" t="str">
        <f t="shared" si="23"/>
        <v/>
      </c>
      <c r="N282" s="1" t="str">
        <f t="shared" si="24"/>
        <v/>
      </c>
      <c r="O282" s="1" t="str">
        <f t="shared" si="25"/>
        <v/>
      </c>
    </row>
    <row r="283" spans="1:15" x14ac:dyDescent="0.2">
      <c r="A283" s="17">
        <v>2023</v>
      </c>
      <c r="B283" s="17" t="s">
        <v>17</v>
      </c>
      <c r="C283" s="17" t="s">
        <v>579</v>
      </c>
      <c r="D283" s="17" t="s">
        <v>697</v>
      </c>
      <c r="E283" s="17" t="s">
        <v>697</v>
      </c>
      <c r="F283" s="17" t="s">
        <v>579</v>
      </c>
      <c r="G283" s="17" t="s">
        <v>580</v>
      </c>
      <c r="H283" s="18">
        <f>ROUND(SUMPRODUCT(SUMIF(Final!$G$5:$G$331,CashReserveLevy!D283:F283,Final!$C$5:$C$331)),0)</f>
        <v>3337203</v>
      </c>
      <c r="I283" s="18">
        <f t="shared" si="21"/>
        <v>667441</v>
      </c>
      <c r="J283" s="18">
        <f>ROUND(SUMPRODUCT(SUMIF(Final!$G$5:$G$331,CashReserveLevy!D283:F283,Final!$E$5:$E$331)),0)</f>
        <v>2126013</v>
      </c>
      <c r="K283" s="18">
        <f t="shared" si="22"/>
        <v>0</v>
      </c>
      <c r="L283" s="18">
        <f>INDEX(ActualCRLevy_SAS!$A$2:$D$328,MATCH(CashReserveLevy!$C283,ActualCRLevy_SAS!$B$2:$B$328,0),4)</f>
        <v>0</v>
      </c>
      <c r="M283" s="19" t="str">
        <f t="shared" si="23"/>
        <v/>
      </c>
      <c r="N283" s="1" t="str">
        <f t="shared" si="24"/>
        <v/>
      </c>
      <c r="O283" s="1" t="str">
        <f t="shared" si="25"/>
        <v/>
      </c>
    </row>
    <row r="284" spans="1:15" x14ac:dyDescent="0.2">
      <c r="A284" s="17">
        <v>2023</v>
      </c>
      <c r="B284" s="17" t="s">
        <v>5</v>
      </c>
      <c r="C284" s="17" t="s">
        <v>581</v>
      </c>
      <c r="D284" s="17" t="s">
        <v>697</v>
      </c>
      <c r="E284" s="17" t="s">
        <v>697</v>
      </c>
      <c r="F284" s="17" t="s">
        <v>581</v>
      </c>
      <c r="G284" s="17" t="s">
        <v>582</v>
      </c>
      <c r="H284" s="18">
        <f>ROUND(SUMPRODUCT(SUMIF(Final!$G$5:$G$331,CashReserveLevy!D284:F284,Final!$C$5:$C$331)),0)</f>
        <v>5846206</v>
      </c>
      <c r="I284" s="18">
        <f t="shared" si="21"/>
        <v>1169241</v>
      </c>
      <c r="J284" s="18">
        <f>ROUND(SUMPRODUCT(SUMIF(Final!$G$5:$G$331,CashReserveLevy!D284:F284,Final!$E$5:$E$331)),0)</f>
        <v>1199185</v>
      </c>
      <c r="K284" s="18">
        <f t="shared" si="22"/>
        <v>0</v>
      </c>
      <c r="L284" s="18">
        <f>INDEX(ActualCRLevy_SAS!$A$2:$D$328,MATCH(CashReserveLevy!$C284,ActualCRLevy_SAS!$B$2:$B$328,0),4)</f>
        <v>0</v>
      </c>
      <c r="M284" s="19" t="str">
        <f t="shared" si="23"/>
        <v/>
      </c>
      <c r="N284" s="1" t="str">
        <f t="shared" si="24"/>
        <v/>
      </c>
      <c r="O284" s="1" t="str">
        <f t="shared" si="25"/>
        <v/>
      </c>
    </row>
    <row r="285" spans="1:15" x14ac:dyDescent="0.2">
      <c r="A285" s="17">
        <v>2023</v>
      </c>
      <c r="B285" s="17" t="s">
        <v>28</v>
      </c>
      <c r="C285" s="17" t="s">
        <v>583</v>
      </c>
      <c r="D285" s="17" t="s">
        <v>697</v>
      </c>
      <c r="E285" s="17" t="s">
        <v>697</v>
      </c>
      <c r="F285" s="17" t="s">
        <v>583</v>
      </c>
      <c r="G285" s="17" t="s">
        <v>584</v>
      </c>
      <c r="H285" s="18">
        <f>ROUND(SUMPRODUCT(SUMIF(Final!$G$5:$G$331,CashReserveLevy!D285:F285,Final!$C$5:$C$331)),0)</f>
        <v>5047633</v>
      </c>
      <c r="I285" s="18">
        <f t="shared" si="21"/>
        <v>1009527</v>
      </c>
      <c r="J285" s="18">
        <f>ROUND(SUMPRODUCT(SUMIF(Final!$G$5:$G$331,CashReserveLevy!D285:F285,Final!$E$5:$E$331)),0)</f>
        <v>2268660</v>
      </c>
      <c r="K285" s="18">
        <f t="shared" si="22"/>
        <v>0</v>
      </c>
      <c r="L285" s="18">
        <f>INDEX(ActualCRLevy_SAS!$A$2:$D$328,MATCH(CashReserveLevy!$C285,ActualCRLevy_SAS!$B$2:$B$328,0),4)</f>
        <v>0</v>
      </c>
      <c r="M285" s="19" t="str">
        <f t="shared" si="23"/>
        <v/>
      </c>
      <c r="N285" s="1" t="str">
        <f t="shared" si="24"/>
        <v/>
      </c>
      <c r="O285" s="1" t="str">
        <f t="shared" si="25"/>
        <v/>
      </c>
    </row>
    <row r="286" spans="1:15" x14ac:dyDescent="0.2">
      <c r="A286" s="17">
        <v>2023</v>
      </c>
      <c r="B286" s="17" t="s">
        <v>0</v>
      </c>
      <c r="C286" s="17" t="s">
        <v>585</v>
      </c>
      <c r="D286" s="17" t="s">
        <v>697</v>
      </c>
      <c r="E286" s="17" t="s">
        <v>697</v>
      </c>
      <c r="F286" s="17" t="s">
        <v>585</v>
      </c>
      <c r="G286" s="17" t="s">
        <v>586</v>
      </c>
      <c r="H286" s="18">
        <f>ROUND(SUMPRODUCT(SUMIF(Final!$G$5:$G$331,CashReserveLevy!D286:F286,Final!$C$5:$C$331)),0)</f>
        <v>5127519</v>
      </c>
      <c r="I286" s="18">
        <f t="shared" si="21"/>
        <v>1025504</v>
      </c>
      <c r="J286" s="18">
        <f>ROUND(SUMPRODUCT(SUMIF(Final!$G$5:$G$331,CashReserveLevy!D286:F286,Final!$E$5:$E$331)),0)</f>
        <v>310737</v>
      </c>
      <c r="K286" s="18">
        <f t="shared" si="22"/>
        <v>714767</v>
      </c>
      <c r="L286" s="18">
        <f>INDEX(ActualCRLevy_SAS!$A$2:$D$328,MATCH(CashReserveLevy!$C286,ActualCRLevy_SAS!$B$2:$B$328,0),4)</f>
        <v>526653</v>
      </c>
      <c r="M286" s="19" t="str">
        <f t="shared" si="23"/>
        <v/>
      </c>
      <c r="N286" s="1" t="str">
        <f t="shared" si="24"/>
        <v/>
      </c>
      <c r="O286" s="1" t="str">
        <f t="shared" si="25"/>
        <v/>
      </c>
    </row>
    <row r="287" spans="1:15" x14ac:dyDescent="0.2">
      <c r="A287" s="17">
        <v>2023</v>
      </c>
      <c r="B287" s="17" t="s">
        <v>14</v>
      </c>
      <c r="C287" s="17" t="s">
        <v>587</v>
      </c>
      <c r="D287" s="17" t="s">
        <v>697</v>
      </c>
      <c r="E287" s="17" t="s">
        <v>697</v>
      </c>
      <c r="F287" s="17" t="s">
        <v>587</v>
      </c>
      <c r="G287" s="17" t="s">
        <v>588</v>
      </c>
      <c r="H287" s="18">
        <f>ROUND(SUMPRODUCT(SUMIF(Final!$G$5:$G$331,CashReserveLevy!D287:F287,Final!$C$5:$C$331)),0)</f>
        <v>2612004</v>
      </c>
      <c r="I287" s="18">
        <f t="shared" si="21"/>
        <v>522401</v>
      </c>
      <c r="J287" s="18">
        <f>ROUND(SUMPRODUCT(SUMIF(Final!$G$5:$G$331,CashReserveLevy!D287:F287,Final!$E$5:$E$331)),0)</f>
        <v>2171965</v>
      </c>
      <c r="K287" s="18">
        <f t="shared" si="22"/>
        <v>0</v>
      </c>
      <c r="L287" s="18">
        <f>INDEX(ActualCRLevy_SAS!$A$2:$D$328,MATCH(CashReserveLevy!$C287,ActualCRLevy_SAS!$B$2:$B$328,0),4)</f>
        <v>0</v>
      </c>
      <c r="M287" s="19" t="str">
        <f t="shared" si="23"/>
        <v/>
      </c>
      <c r="N287" s="1" t="str">
        <f t="shared" si="24"/>
        <v/>
      </c>
      <c r="O287" s="1" t="str">
        <f t="shared" si="25"/>
        <v/>
      </c>
    </row>
    <row r="288" spans="1:15" x14ac:dyDescent="0.2">
      <c r="A288" s="17">
        <v>2023</v>
      </c>
      <c r="B288" s="17" t="s">
        <v>8</v>
      </c>
      <c r="C288" s="17" t="s">
        <v>589</v>
      </c>
      <c r="D288" s="17" t="s">
        <v>697</v>
      </c>
      <c r="E288" s="17" t="s">
        <v>697</v>
      </c>
      <c r="F288" s="17" t="s">
        <v>589</v>
      </c>
      <c r="G288" s="17" t="s">
        <v>590</v>
      </c>
      <c r="H288" s="18">
        <f>ROUND(SUMPRODUCT(SUMIF(Final!$G$5:$G$331,CashReserveLevy!D288:F288,Final!$C$5:$C$331)),0)</f>
        <v>9359725</v>
      </c>
      <c r="I288" s="18">
        <f t="shared" si="21"/>
        <v>1871945</v>
      </c>
      <c r="J288" s="18">
        <f>ROUND(SUMPRODUCT(SUMIF(Final!$G$5:$G$331,CashReserveLevy!D288:F288,Final!$E$5:$E$331)),0)</f>
        <v>829307</v>
      </c>
      <c r="K288" s="18">
        <f t="shared" si="22"/>
        <v>1042638</v>
      </c>
      <c r="L288" s="18">
        <f>INDEX(ActualCRLevy_SAS!$A$2:$D$328,MATCH(CashReserveLevy!$C288,ActualCRLevy_SAS!$B$2:$B$328,0),4)</f>
        <v>545032</v>
      </c>
      <c r="M288" s="19" t="str">
        <f t="shared" si="23"/>
        <v/>
      </c>
      <c r="N288" s="1" t="str">
        <f t="shared" si="24"/>
        <v/>
      </c>
      <c r="O288" s="1" t="str">
        <f t="shared" si="25"/>
        <v/>
      </c>
    </row>
    <row r="289" spans="1:15" x14ac:dyDescent="0.2">
      <c r="A289" s="17">
        <v>2023</v>
      </c>
      <c r="B289" s="17" t="s">
        <v>5</v>
      </c>
      <c r="C289" s="17" t="s">
        <v>591</v>
      </c>
      <c r="D289" s="17" t="s">
        <v>697</v>
      </c>
      <c r="E289" s="17" t="s">
        <v>697</v>
      </c>
      <c r="F289" s="17" t="s">
        <v>592</v>
      </c>
      <c r="G289" s="17" t="s">
        <v>593</v>
      </c>
      <c r="H289" s="18">
        <f>ROUND(SUMPRODUCT(SUMIF(Final!$G$5:$G$331,CashReserveLevy!D289:F289,Final!$C$5:$C$331)),0)</f>
        <v>12762878</v>
      </c>
      <c r="I289" s="18">
        <f t="shared" si="21"/>
        <v>2552576</v>
      </c>
      <c r="J289" s="18">
        <f>ROUND(SUMPRODUCT(SUMIF(Final!$G$5:$G$331,CashReserveLevy!D289:F289,Final!$E$5:$E$331)),0)</f>
        <v>1354182</v>
      </c>
      <c r="K289" s="18">
        <f t="shared" si="22"/>
        <v>1198394</v>
      </c>
      <c r="L289" s="18">
        <f>INDEX(ActualCRLevy_SAS!$A$2:$D$328,MATCH(CashReserveLevy!$C289,ActualCRLevy_SAS!$B$2:$B$328,0),4)</f>
        <v>750000</v>
      </c>
      <c r="M289" s="19" t="str">
        <f t="shared" si="23"/>
        <v/>
      </c>
      <c r="N289" s="1" t="str">
        <f t="shared" si="24"/>
        <v/>
      </c>
      <c r="O289" s="1" t="str">
        <f t="shared" si="25"/>
        <v/>
      </c>
    </row>
    <row r="290" spans="1:15" x14ac:dyDescent="0.2">
      <c r="A290" s="17">
        <v>2023</v>
      </c>
      <c r="B290" s="17" t="s">
        <v>0</v>
      </c>
      <c r="C290" s="17" t="s">
        <v>594</v>
      </c>
      <c r="D290" s="17" t="s">
        <v>697</v>
      </c>
      <c r="E290" s="17" t="s">
        <v>697</v>
      </c>
      <c r="F290" s="17" t="s">
        <v>594</v>
      </c>
      <c r="G290" s="17" t="s">
        <v>595</v>
      </c>
      <c r="H290" s="18">
        <f>ROUND(SUMPRODUCT(SUMIF(Final!$G$5:$G$331,CashReserveLevy!D290:F290,Final!$C$5:$C$331)),0)</f>
        <v>5626619</v>
      </c>
      <c r="I290" s="18">
        <f t="shared" si="21"/>
        <v>1125324</v>
      </c>
      <c r="J290" s="18">
        <f>ROUND(SUMPRODUCT(SUMIF(Final!$G$5:$G$331,CashReserveLevy!D290:F290,Final!$E$5:$E$331)),0)</f>
        <v>1834596</v>
      </c>
      <c r="K290" s="18">
        <f t="shared" si="22"/>
        <v>0</v>
      </c>
      <c r="L290" s="18">
        <f>INDEX(ActualCRLevy_SAS!$A$2:$D$328,MATCH(CashReserveLevy!$C290,ActualCRLevy_SAS!$B$2:$B$328,0),4)</f>
        <v>0</v>
      </c>
      <c r="M290" s="19" t="str">
        <f t="shared" si="23"/>
        <v/>
      </c>
      <c r="N290" s="1" t="str">
        <f t="shared" si="24"/>
        <v/>
      </c>
      <c r="O290" s="1" t="str">
        <f t="shared" si="25"/>
        <v/>
      </c>
    </row>
    <row r="291" spans="1:15" x14ac:dyDescent="0.2">
      <c r="A291" s="17">
        <v>2023</v>
      </c>
      <c r="B291" s="17" t="s">
        <v>0</v>
      </c>
      <c r="C291" s="17" t="s">
        <v>596</v>
      </c>
      <c r="D291" s="17" t="s">
        <v>697</v>
      </c>
      <c r="E291" s="17" t="s">
        <v>697</v>
      </c>
      <c r="F291" s="17" t="s">
        <v>596</v>
      </c>
      <c r="G291" s="17" t="s">
        <v>597</v>
      </c>
      <c r="H291" s="18">
        <f>ROUND(SUMPRODUCT(SUMIF(Final!$G$5:$G$331,CashReserveLevy!D291:F291,Final!$C$5:$C$331)),0)</f>
        <v>49034877</v>
      </c>
      <c r="I291" s="18">
        <f t="shared" si="21"/>
        <v>9806975</v>
      </c>
      <c r="J291" s="18">
        <f>ROUND(SUMPRODUCT(SUMIF(Final!$G$5:$G$331,CashReserveLevy!D291:F291,Final!$E$5:$E$331)),0)</f>
        <v>5811129</v>
      </c>
      <c r="K291" s="18">
        <f t="shared" si="22"/>
        <v>3995846</v>
      </c>
      <c r="L291" s="18">
        <f>INDEX(ActualCRLevy_SAS!$A$2:$D$328,MATCH(CashReserveLevy!$C291,ActualCRLevy_SAS!$B$2:$B$328,0),4)</f>
        <v>3495846</v>
      </c>
      <c r="M291" s="19" t="str">
        <f t="shared" si="23"/>
        <v/>
      </c>
      <c r="N291" s="1" t="str">
        <f t="shared" si="24"/>
        <v/>
      </c>
      <c r="O291" s="1" t="str">
        <f t="shared" si="25"/>
        <v/>
      </c>
    </row>
    <row r="292" spans="1:15" x14ac:dyDescent="0.2">
      <c r="A292" s="17">
        <v>2023</v>
      </c>
      <c r="B292" s="17" t="s">
        <v>17</v>
      </c>
      <c r="C292" s="17" t="s">
        <v>598</v>
      </c>
      <c r="D292" s="17" t="s">
        <v>697</v>
      </c>
      <c r="E292" s="17" t="s">
        <v>697</v>
      </c>
      <c r="F292" s="17" t="s">
        <v>598</v>
      </c>
      <c r="G292" s="17" t="s">
        <v>698</v>
      </c>
      <c r="H292" s="18">
        <f>ROUND(SUMPRODUCT(SUMIF(Final!$G$5:$G$331,CashReserveLevy!D292:F292,Final!$C$5:$C$331)),0)</f>
        <v>13949484</v>
      </c>
      <c r="I292" s="18">
        <f t="shared" si="21"/>
        <v>2789897</v>
      </c>
      <c r="J292" s="18">
        <f>ROUND(SUMPRODUCT(SUMIF(Final!$G$5:$G$331,CashReserveLevy!D292:F292,Final!$E$5:$E$331)),0)</f>
        <v>5451562</v>
      </c>
      <c r="K292" s="18">
        <f t="shared" si="22"/>
        <v>0</v>
      </c>
      <c r="L292" s="18">
        <f>INDEX(ActualCRLevy_SAS!$A$2:$D$328,MATCH(CashReserveLevy!$C292,ActualCRLevy_SAS!$B$2:$B$328,0),4)</f>
        <v>0</v>
      </c>
      <c r="M292" s="19" t="str">
        <f t="shared" si="23"/>
        <v/>
      </c>
      <c r="N292" s="1" t="str">
        <f t="shared" si="24"/>
        <v/>
      </c>
      <c r="O292" s="1" t="str">
        <f t="shared" si="25"/>
        <v/>
      </c>
    </row>
    <row r="293" spans="1:15" x14ac:dyDescent="0.2">
      <c r="A293" s="17">
        <v>2023</v>
      </c>
      <c r="B293" s="17" t="s">
        <v>0</v>
      </c>
      <c r="C293" s="17" t="s">
        <v>599</v>
      </c>
      <c r="D293" s="17" t="s">
        <v>697</v>
      </c>
      <c r="E293" s="17" t="s">
        <v>697</v>
      </c>
      <c r="F293" s="17" t="s">
        <v>599</v>
      </c>
      <c r="G293" s="17" t="s">
        <v>600</v>
      </c>
      <c r="H293" s="18">
        <f>ROUND(SUMPRODUCT(SUMIF(Final!$G$5:$G$331,CashReserveLevy!D293:F293,Final!$C$5:$C$331)),0)</f>
        <v>9271031</v>
      </c>
      <c r="I293" s="18">
        <f>ROUND(H293*0.2,0)</f>
        <v>1854206</v>
      </c>
      <c r="J293" s="18">
        <f>ROUND(SUMPRODUCT(SUMIF(Final!$G$5:$G$331,CashReserveLevy!D293:F293,Final!$E$5:$E$331)),0)</f>
        <v>1911596</v>
      </c>
      <c r="K293" s="18">
        <f t="shared" si="22"/>
        <v>0</v>
      </c>
      <c r="L293" s="18">
        <f>INDEX(ActualCRLevy_SAS!$A$2:$D$328,MATCH(CashReserveLevy!$C293,ActualCRLevy_SAS!$B$2:$B$328,0),4)</f>
        <v>0</v>
      </c>
      <c r="M293" s="19" t="str">
        <f t="shared" si="23"/>
        <v/>
      </c>
      <c r="N293" s="1" t="str">
        <f t="shared" si="24"/>
        <v/>
      </c>
      <c r="O293" s="1" t="str">
        <f t="shared" si="25"/>
        <v/>
      </c>
    </row>
    <row r="294" spans="1:15" x14ac:dyDescent="0.2">
      <c r="A294" s="17">
        <v>2023</v>
      </c>
      <c r="B294" s="17" t="s">
        <v>8</v>
      </c>
      <c r="C294" s="17" t="s">
        <v>601</v>
      </c>
      <c r="D294" s="17" t="s">
        <v>697</v>
      </c>
      <c r="E294" s="17" t="s">
        <v>697</v>
      </c>
      <c r="F294" s="17" t="s">
        <v>601</v>
      </c>
      <c r="G294" s="17" t="s">
        <v>602</v>
      </c>
      <c r="H294" s="18">
        <f>ROUND(SUMPRODUCT(SUMIF(Final!$G$5:$G$331,CashReserveLevy!D294:F294,Final!$C$5:$C$331)),0)</f>
        <v>4512612</v>
      </c>
      <c r="I294" s="18">
        <f t="shared" si="21"/>
        <v>902522</v>
      </c>
      <c r="J294" s="18">
        <f>ROUND(SUMPRODUCT(SUMIF(Final!$G$5:$G$331,CashReserveLevy!D294:F294,Final!$E$5:$E$331)),0)</f>
        <v>1831402</v>
      </c>
      <c r="K294" s="18">
        <f t="shared" si="22"/>
        <v>0</v>
      </c>
      <c r="L294" s="18">
        <f>INDEX(ActualCRLevy_SAS!$A$2:$D$328,MATCH(CashReserveLevy!$C294,ActualCRLevy_SAS!$B$2:$B$328,0),4)</f>
        <v>0</v>
      </c>
      <c r="M294" s="19" t="str">
        <f t="shared" si="23"/>
        <v/>
      </c>
      <c r="N294" s="1" t="str">
        <f t="shared" si="24"/>
        <v/>
      </c>
      <c r="O294" s="1" t="str">
        <f t="shared" si="25"/>
        <v/>
      </c>
    </row>
    <row r="295" spans="1:15" x14ac:dyDescent="0.2">
      <c r="A295" s="17">
        <v>2023</v>
      </c>
      <c r="B295" s="17" t="s">
        <v>20</v>
      </c>
      <c r="C295" s="17" t="s">
        <v>603</v>
      </c>
      <c r="D295" s="17" t="s">
        <v>697</v>
      </c>
      <c r="E295" s="17" t="s">
        <v>697</v>
      </c>
      <c r="F295" s="17" t="s">
        <v>603</v>
      </c>
      <c r="G295" s="17" t="s">
        <v>604</v>
      </c>
      <c r="H295" s="18">
        <f>ROUND(SUMPRODUCT(SUMIF(Final!$G$5:$G$331,CashReserveLevy!D295:F295,Final!$C$5:$C$331)),0)</f>
        <v>19013049</v>
      </c>
      <c r="I295" s="18">
        <f t="shared" si="21"/>
        <v>3802610</v>
      </c>
      <c r="J295" s="18">
        <f>ROUND(SUMPRODUCT(SUMIF(Final!$G$5:$G$331,CashReserveLevy!D295:F295,Final!$E$5:$E$331)),0)</f>
        <v>2189857</v>
      </c>
      <c r="K295" s="18">
        <f t="shared" si="22"/>
        <v>1612753</v>
      </c>
      <c r="L295" s="18">
        <f>INDEX(ActualCRLevy_SAS!$A$2:$D$328,MATCH(CashReserveLevy!$C295,ActualCRLevy_SAS!$B$2:$B$328,0),4)</f>
        <v>1157410</v>
      </c>
      <c r="M295" s="19" t="str">
        <f t="shared" si="23"/>
        <v/>
      </c>
      <c r="N295" s="1" t="str">
        <f t="shared" si="24"/>
        <v/>
      </c>
      <c r="O295" s="1" t="str">
        <f t="shared" si="25"/>
        <v/>
      </c>
    </row>
    <row r="296" spans="1:15" x14ac:dyDescent="0.2">
      <c r="A296" s="17">
        <v>2023</v>
      </c>
      <c r="B296" s="17" t="s">
        <v>17</v>
      </c>
      <c r="C296" s="17" t="s">
        <v>605</v>
      </c>
      <c r="D296" s="17" t="s">
        <v>697</v>
      </c>
      <c r="E296" s="17" t="s">
        <v>697</v>
      </c>
      <c r="F296" s="17" t="s">
        <v>605</v>
      </c>
      <c r="G296" s="17" t="s">
        <v>606</v>
      </c>
      <c r="H296" s="18">
        <f>ROUND(SUMPRODUCT(SUMIF(Final!$G$5:$G$331,CashReserveLevy!D296:F296,Final!$C$5:$C$331)),0)</f>
        <v>6729081</v>
      </c>
      <c r="I296" s="18">
        <f t="shared" si="21"/>
        <v>1345816</v>
      </c>
      <c r="J296" s="18">
        <f>ROUND(SUMPRODUCT(SUMIF(Final!$G$5:$G$331,CashReserveLevy!D296:F296,Final!$E$5:$E$331)),0)</f>
        <v>1289846</v>
      </c>
      <c r="K296" s="18">
        <f t="shared" si="22"/>
        <v>55970</v>
      </c>
      <c r="L296" s="18">
        <f>INDEX(ActualCRLevy_SAS!$A$2:$D$328,MATCH(CashReserveLevy!$C296,ActualCRLevy_SAS!$B$2:$B$328,0),4)</f>
        <v>55948</v>
      </c>
      <c r="M296" s="19" t="str">
        <f t="shared" si="23"/>
        <v/>
      </c>
      <c r="N296" s="1" t="str">
        <f t="shared" si="24"/>
        <v/>
      </c>
      <c r="O296" s="1" t="str">
        <f t="shared" si="25"/>
        <v/>
      </c>
    </row>
    <row r="297" spans="1:15" x14ac:dyDescent="0.2">
      <c r="A297" s="17">
        <v>2023</v>
      </c>
      <c r="B297" s="17" t="s">
        <v>17</v>
      </c>
      <c r="C297" s="17" t="s">
        <v>607</v>
      </c>
      <c r="D297" s="17" t="s">
        <v>697</v>
      </c>
      <c r="E297" s="17" t="s">
        <v>697</v>
      </c>
      <c r="F297" s="17" t="s">
        <v>607</v>
      </c>
      <c r="G297" s="17" t="s">
        <v>608</v>
      </c>
      <c r="H297" s="18">
        <f>ROUND(SUMPRODUCT(SUMIF(Final!$G$5:$G$331,CashReserveLevy!D297:F297,Final!$C$5:$C$331)),0)</f>
        <v>7542758</v>
      </c>
      <c r="I297" s="18">
        <f t="shared" si="21"/>
        <v>1508552</v>
      </c>
      <c r="J297" s="18">
        <f>ROUND(SUMPRODUCT(SUMIF(Final!$G$5:$G$331,CashReserveLevy!D297:F297,Final!$E$5:$E$331)),0)</f>
        <v>1673459</v>
      </c>
      <c r="K297" s="18">
        <f t="shared" si="22"/>
        <v>0</v>
      </c>
      <c r="L297" s="18">
        <f>INDEX(ActualCRLevy_SAS!$A$2:$D$328,MATCH(CashReserveLevy!$C297,ActualCRLevy_SAS!$B$2:$B$328,0),4)</f>
        <v>0</v>
      </c>
      <c r="M297" s="19" t="str">
        <f t="shared" si="23"/>
        <v/>
      </c>
      <c r="N297" s="1" t="str">
        <f t="shared" si="24"/>
        <v/>
      </c>
      <c r="O297" s="1" t="str">
        <f t="shared" si="25"/>
        <v/>
      </c>
    </row>
    <row r="298" spans="1:15" x14ac:dyDescent="0.2">
      <c r="A298" s="17">
        <v>2023</v>
      </c>
      <c r="B298" s="17" t="s">
        <v>5</v>
      </c>
      <c r="C298" s="17" t="s">
        <v>609</v>
      </c>
      <c r="D298" s="17" t="s">
        <v>697</v>
      </c>
      <c r="E298" s="17" t="s">
        <v>697</v>
      </c>
      <c r="F298" s="17" t="s">
        <v>609</v>
      </c>
      <c r="G298" s="17" t="s">
        <v>610</v>
      </c>
      <c r="H298" s="18">
        <f>ROUND(SUMPRODUCT(SUMIF(Final!$G$5:$G$331,CashReserveLevy!D298:F298,Final!$C$5:$C$331)),0)</f>
        <v>8515296</v>
      </c>
      <c r="I298" s="18">
        <f t="shared" si="21"/>
        <v>1703059</v>
      </c>
      <c r="J298" s="18">
        <f>ROUND(SUMPRODUCT(SUMIF(Final!$G$5:$G$331,CashReserveLevy!D298:F298,Final!$E$5:$E$331)),0)</f>
        <v>1918187</v>
      </c>
      <c r="K298" s="18">
        <f t="shared" si="22"/>
        <v>0</v>
      </c>
      <c r="L298" s="18">
        <f>INDEX(ActualCRLevy_SAS!$A$2:$D$328,MATCH(CashReserveLevy!$C298,ActualCRLevy_SAS!$B$2:$B$328,0),4)</f>
        <v>0</v>
      </c>
      <c r="M298" s="19" t="str">
        <f t="shared" si="23"/>
        <v/>
      </c>
      <c r="N298" s="1" t="str">
        <f t="shared" si="24"/>
        <v/>
      </c>
      <c r="O298" s="1" t="str">
        <f t="shared" si="25"/>
        <v/>
      </c>
    </row>
    <row r="299" spans="1:15" x14ac:dyDescent="0.2">
      <c r="A299" s="17">
        <v>2023</v>
      </c>
      <c r="B299" s="17" t="s">
        <v>20</v>
      </c>
      <c r="C299" s="17" t="s">
        <v>611</v>
      </c>
      <c r="D299" s="17" t="s">
        <v>697</v>
      </c>
      <c r="E299" s="17" t="s">
        <v>697</v>
      </c>
      <c r="F299" s="17" t="s">
        <v>611</v>
      </c>
      <c r="G299" s="17" t="s">
        <v>612</v>
      </c>
      <c r="H299" s="18">
        <f>ROUND(SUMPRODUCT(SUMIF(Final!$G$5:$G$331,CashReserveLevy!D299:F299,Final!$C$5:$C$331)),0)</f>
        <v>22654616</v>
      </c>
      <c r="I299" s="18">
        <f t="shared" si="21"/>
        <v>4530923</v>
      </c>
      <c r="J299" s="18">
        <f>ROUND(SUMPRODUCT(SUMIF(Final!$G$5:$G$331,CashReserveLevy!D299:F299,Final!$E$5:$E$331)),0)</f>
        <v>4731296</v>
      </c>
      <c r="K299" s="18">
        <f t="shared" si="22"/>
        <v>0</v>
      </c>
      <c r="L299" s="18">
        <f>INDEX(ActualCRLevy_SAS!$A$2:$D$328,MATCH(CashReserveLevy!$C299,ActualCRLevy_SAS!$B$2:$B$328,0),4)</f>
        <v>0</v>
      </c>
      <c r="M299" s="19" t="str">
        <f t="shared" si="23"/>
        <v/>
      </c>
      <c r="N299" s="1" t="str">
        <f t="shared" si="24"/>
        <v/>
      </c>
      <c r="O299" s="1" t="str">
        <f t="shared" si="25"/>
        <v/>
      </c>
    </row>
    <row r="300" spans="1:15" x14ac:dyDescent="0.2">
      <c r="A300" s="17">
        <v>2023</v>
      </c>
      <c r="B300" s="17" t="s">
        <v>5</v>
      </c>
      <c r="C300" s="17" t="s">
        <v>613</v>
      </c>
      <c r="D300" s="17" t="s">
        <v>697</v>
      </c>
      <c r="E300" s="17" t="s">
        <v>697</v>
      </c>
      <c r="F300" s="17" t="s">
        <v>613</v>
      </c>
      <c r="G300" s="17" t="s">
        <v>614</v>
      </c>
      <c r="H300" s="18">
        <f>ROUND(SUMPRODUCT(SUMIF(Final!$G$5:$G$331,CashReserveLevy!D300:F300,Final!$C$5:$C$331)),0)</f>
        <v>142306249</v>
      </c>
      <c r="I300" s="18">
        <f t="shared" si="21"/>
        <v>28461250</v>
      </c>
      <c r="J300" s="18">
        <f>ROUND(SUMPRODUCT(SUMIF(Final!$G$5:$G$331,CashReserveLevy!D300:F300,Final!$E$5:$E$331)),0)</f>
        <v>28179854</v>
      </c>
      <c r="K300" s="18">
        <f t="shared" si="22"/>
        <v>281396</v>
      </c>
      <c r="L300" s="18">
        <f>INDEX(ActualCRLevy_SAS!$A$2:$D$328,MATCH(CashReserveLevy!$C300,ActualCRLevy_SAS!$B$2:$B$328,0),4)</f>
        <v>281396</v>
      </c>
      <c r="M300" s="19" t="str">
        <f t="shared" si="23"/>
        <v>Max</v>
      </c>
      <c r="N300" s="1" t="str">
        <f t="shared" si="24"/>
        <v/>
      </c>
      <c r="O300" s="1" t="str">
        <f t="shared" si="25"/>
        <v/>
      </c>
    </row>
    <row r="301" spans="1:15" x14ac:dyDescent="0.2">
      <c r="A301" s="17">
        <v>2023</v>
      </c>
      <c r="B301" s="17" t="s">
        <v>0</v>
      </c>
      <c r="C301" s="17" t="s">
        <v>615</v>
      </c>
      <c r="D301" s="17" t="s">
        <v>697</v>
      </c>
      <c r="E301" s="17" t="s">
        <v>697</v>
      </c>
      <c r="F301" s="17" t="s">
        <v>615</v>
      </c>
      <c r="G301" s="17" t="s">
        <v>616</v>
      </c>
      <c r="H301" s="18">
        <f>ROUND(SUMPRODUCT(SUMIF(Final!$G$5:$G$331,CashReserveLevy!D301:F301,Final!$C$5:$C$331)),0)</f>
        <v>132380242</v>
      </c>
      <c r="I301" s="18">
        <f t="shared" si="21"/>
        <v>26476048</v>
      </c>
      <c r="J301" s="18">
        <f>ROUND(SUMPRODUCT(SUMIF(Final!$G$5:$G$331,CashReserveLevy!D301:F301,Final!$E$5:$E$331)),0)</f>
        <v>13250403</v>
      </c>
      <c r="K301" s="18">
        <f t="shared" si="22"/>
        <v>13225645</v>
      </c>
      <c r="L301" s="18">
        <f>INDEX(ActualCRLevy_SAS!$A$2:$D$328,MATCH(CashReserveLevy!$C301,ActualCRLevy_SAS!$B$2:$B$328,0),4)</f>
        <v>13225645</v>
      </c>
      <c r="M301" s="19" t="str">
        <f t="shared" si="23"/>
        <v>Max</v>
      </c>
      <c r="N301" s="1" t="str">
        <f t="shared" si="24"/>
        <v/>
      </c>
      <c r="O301" s="1" t="str">
        <f t="shared" si="25"/>
        <v/>
      </c>
    </row>
    <row r="302" spans="1:15" x14ac:dyDescent="0.2">
      <c r="A302" s="17">
        <v>2023</v>
      </c>
      <c r="B302" s="17" t="s">
        <v>5</v>
      </c>
      <c r="C302" s="17" t="s">
        <v>617</v>
      </c>
      <c r="D302" s="17" t="s">
        <v>697</v>
      </c>
      <c r="E302" s="17" t="s">
        <v>697</v>
      </c>
      <c r="F302" s="17" t="s">
        <v>617</v>
      </c>
      <c r="G302" s="17" t="s">
        <v>618</v>
      </c>
      <c r="H302" s="18">
        <f>ROUND(SUMPRODUCT(SUMIF(Final!$G$5:$G$331,CashReserveLevy!D302:F302,Final!$C$5:$C$331)),0)</f>
        <v>27449825</v>
      </c>
      <c r="I302" s="18">
        <f t="shared" si="21"/>
        <v>5489965</v>
      </c>
      <c r="J302" s="18">
        <f>ROUND(SUMPRODUCT(SUMIF(Final!$G$5:$G$331,CashReserveLevy!D302:F302,Final!$E$5:$E$331)),0)</f>
        <v>6288069</v>
      </c>
      <c r="K302" s="18">
        <f t="shared" si="22"/>
        <v>0</v>
      </c>
      <c r="L302" s="18">
        <f>INDEX(ActualCRLevy_SAS!$A$2:$D$328,MATCH(CashReserveLevy!$C302,ActualCRLevy_SAS!$B$2:$B$328,0),4)</f>
        <v>0</v>
      </c>
      <c r="M302" s="19" t="str">
        <f t="shared" si="23"/>
        <v/>
      </c>
      <c r="N302" s="1" t="str">
        <f t="shared" si="24"/>
        <v/>
      </c>
      <c r="O302" s="1" t="str">
        <f t="shared" si="25"/>
        <v/>
      </c>
    </row>
    <row r="303" spans="1:15" x14ac:dyDescent="0.2">
      <c r="A303" s="17">
        <v>2023</v>
      </c>
      <c r="B303" s="17" t="s">
        <v>17</v>
      </c>
      <c r="C303" s="17" t="s">
        <v>619</v>
      </c>
      <c r="D303" s="17" t="s">
        <v>697</v>
      </c>
      <c r="E303" s="17" t="s">
        <v>697</v>
      </c>
      <c r="F303" s="17" t="s">
        <v>619</v>
      </c>
      <c r="G303" s="17" t="s">
        <v>620</v>
      </c>
      <c r="H303" s="18">
        <f>ROUND(SUMPRODUCT(SUMIF(Final!$G$5:$G$331,CashReserveLevy!D303:F303,Final!$C$5:$C$331)),0)</f>
        <v>6900708</v>
      </c>
      <c r="I303" s="18">
        <f t="shared" si="21"/>
        <v>1380142</v>
      </c>
      <c r="J303" s="18">
        <f>ROUND(SUMPRODUCT(SUMIF(Final!$G$5:$G$331,CashReserveLevy!D303:F303,Final!$E$5:$E$331)),0)</f>
        <v>4487274</v>
      </c>
      <c r="K303" s="18">
        <f t="shared" si="22"/>
        <v>0</v>
      </c>
      <c r="L303" s="18">
        <f>INDEX(ActualCRLevy_SAS!$A$2:$D$328,MATCH(CashReserveLevy!$C303,ActualCRLevy_SAS!$B$2:$B$328,0),4)</f>
        <v>0</v>
      </c>
      <c r="M303" s="19" t="str">
        <f t="shared" si="23"/>
        <v/>
      </c>
      <c r="N303" s="1" t="str">
        <f t="shared" si="24"/>
        <v/>
      </c>
      <c r="O303" s="1" t="str">
        <f t="shared" si="25"/>
        <v/>
      </c>
    </row>
    <row r="304" spans="1:15" x14ac:dyDescent="0.2">
      <c r="A304" s="17">
        <v>2023</v>
      </c>
      <c r="B304" s="17" t="s">
        <v>14</v>
      </c>
      <c r="C304" s="17" t="s">
        <v>621</v>
      </c>
      <c r="D304" s="17" t="s">
        <v>441</v>
      </c>
      <c r="E304" s="17" t="s">
        <v>697</v>
      </c>
      <c r="F304" s="17" t="s">
        <v>621</v>
      </c>
      <c r="G304" s="17" t="s">
        <v>622</v>
      </c>
      <c r="H304" s="18">
        <f>ROUND(SUMPRODUCT(SUMIF(Final!$G$5:$G$331,CashReserveLevy!D304:F304,Final!$C$5:$C$331)),0)</f>
        <v>22627946</v>
      </c>
      <c r="I304" s="18">
        <f t="shared" si="21"/>
        <v>4525589</v>
      </c>
      <c r="J304" s="18">
        <f>ROUND(SUMPRODUCT(SUMIF(Final!$G$5:$G$331,CashReserveLevy!D304:F304,Final!$E$5:$E$331)),0)</f>
        <v>4096377</v>
      </c>
      <c r="K304" s="18">
        <f t="shared" si="22"/>
        <v>429212</v>
      </c>
      <c r="L304" s="18">
        <f>INDEX(ActualCRLevy_SAS!$A$2:$D$328,MATCH(CashReserveLevy!$C304,ActualCRLevy_SAS!$B$2:$B$328,0),4)</f>
        <v>429212</v>
      </c>
      <c r="M304" s="19" t="str">
        <f t="shared" si="23"/>
        <v>Max</v>
      </c>
      <c r="N304" s="1" t="str">
        <f t="shared" si="24"/>
        <v/>
      </c>
      <c r="O304" s="1" t="str">
        <f t="shared" si="25"/>
        <v/>
      </c>
    </row>
    <row r="305" spans="1:15" x14ac:dyDescent="0.2">
      <c r="A305" s="17">
        <v>2023</v>
      </c>
      <c r="B305" s="17" t="s">
        <v>14</v>
      </c>
      <c r="C305" s="17" t="s">
        <v>623</v>
      </c>
      <c r="D305" s="17" t="s">
        <v>697</v>
      </c>
      <c r="E305" s="17" t="s">
        <v>697</v>
      </c>
      <c r="F305" s="17" t="s">
        <v>623</v>
      </c>
      <c r="G305" s="17" t="s">
        <v>624</v>
      </c>
      <c r="H305" s="18">
        <f>ROUND(SUMPRODUCT(SUMIF(Final!$G$5:$G$331,CashReserveLevy!D305:F305,Final!$C$5:$C$331)),0)</f>
        <v>4283845</v>
      </c>
      <c r="I305" s="18">
        <f t="shared" si="21"/>
        <v>856769</v>
      </c>
      <c r="J305" s="18">
        <f>ROUND(SUMPRODUCT(SUMIF(Final!$G$5:$G$331,CashReserveLevy!D305:F305,Final!$E$5:$E$331)),0)</f>
        <v>1490088</v>
      </c>
      <c r="K305" s="18">
        <f t="shared" si="22"/>
        <v>0</v>
      </c>
      <c r="L305" s="18">
        <f>INDEX(ActualCRLevy_SAS!$A$2:$D$328,MATCH(CashReserveLevy!$C305,ActualCRLevy_SAS!$B$2:$B$328,0),4)</f>
        <v>0</v>
      </c>
      <c r="M305" s="19" t="str">
        <f t="shared" si="23"/>
        <v/>
      </c>
      <c r="N305" s="1" t="str">
        <f t="shared" si="24"/>
        <v/>
      </c>
      <c r="O305" s="1" t="str">
        <f t="shared" si="25"/>
        <v/>
      </c>
    </row>
    <row r="306" spans="1:15" x14ac:dyDescent="0.2">
      <c r="A306" s="17">
        <v>2023</v>
      </c>
      <c r="B306" s="17" t="s">
        <v>20</v>
      </c>
      <c r="C306" s="17" t="s">
        <v>625</v>
      </c>
      <c r="D306" s="17" t="s">
        <v>697</v>
      </c>
      <c r="E306" s="17" t="s">
        <v>697</v>
      </c>
      <c r="F306" s="17" t="s">
        <v>625</v>
      </c>
      <c r="G306" s="17" t="s">
        <v>626</v>
      </c>
      <c r="H306" s="18">
        <f>ROUND(SUMPRODUCT(SUMIF(Final!$G$5:$G$331,CashReserveLevy!D306:F306,Final!$C$5:$C$331)),0)</f>
        <v>9631647</v>
      </c>
      <c r="I306" s="18">
        <f t="shared" si="21"/>
        <v>1926329</v>
      </c>
      <c r="J306" s="18">
        <f>ROUND(SUMPRODUCT(SUMIF(Final!$G$5:$G$331,CashReserveLevy!D306:F306,Final!$E$5:$E$331)),0)</f>
        <v>1569742</v>
      </c>
      <c r="K306" s="18">
        <f t="shared" si="22"/>
        <v>356587</v>
      </c>
      <c r="L306" s="18">
        <f>INDEX(ActualCRLevy_SAS!$A$2:$D$328,MATCH(CashReserveLevy!$C306,ActualCRLevy_SAS!$B$2:$B$328,0),4)</f>
        <v>356587</v>
      </c>
      <c r="M306" s="19" t="str">
        <f t="shared" si="23"/>
        <v>Max</v>
      </c>
      <c r="N306" s="1" t="str">
        <f t="shared" si="24"/>
        <v/>
      </c>
      <c r="O306" s="1" t="str">
        <f t="shared" si="25"/>
        <v/>
      </c>
    </row>
    <row r="307" spans="1:15" x14ac:dyDescent="0.2">
      <c r="A307" s="17">
        <v>2023</v>
      </c>
      <c r="B307" s="17" t="s">
        <v>17</v>
      </c>
      <c r="C307" s="17" t="s">
        <v>627</v>
      </c>
      <c r="D307" s="17" t="s">
        <v>697</v>
      </c>
      <c r="E307" s="17" t="s">
        <v>697</v>
      </c>
      <c r="F307" s="17" t="s">
        <v>627</v>
      </c>
      <c r="G307" s="17" t="s">
        <v>628</v>
      </c>
      <c r="H307" s="18">
        <f>ROUND(SUMPRODUCT(SUMIF(Final!$G$5:$G$331,CashReserveLevy!D307:F307,Final!$C$5:$C$331)),0)</f>
        <v>9259228</v>
      </c>
      <c r="I307" s="18">
        <f t="shared" si="21"/>
        <v>1851846</v>
      </c>
      <c r="J307" s="18">
        <f>ROUND(SUMPRODUCT(SUMIF(Final!$G$5:$G$331,CashReserveLevy!D307:F307,Final!$E$5:$E$331)),0)</f>
        <v>1958158</v>
      </c>
      <c r="K307" s="18">
        <f t="shared" si="22"/>
        <v>0</v>
      </c>
      <c r="L307" s="18">
        <f>INDEX(ActualCRLevy_SAS!$A$2:$D$328,MATCH(CashReserveLevy!$C307,ActualCRLevy_SAS!$B$2:$B$328,0),4)</f>
        <v>0</v>
      </c>
      <c r="M307" s="19" t="str">
        <f t="shared" si="23"/>
        <v/>
      </c>
      <c r="N307" s="1" t="str">
        <f t="shared" si="24"/>
        <v/>
      </c>
      <c r="O307" s="1" t="str">
        <f t="shared" si="25"/>
        <v/>
      </c>
    </row>
    <row r="308" spans="1:15" x14ac:dyDescent="0.2">
      <c r="A308" s="17">
        <v>2023</v>
      </c>
      <c r="B308" s="17" t="s">
        <v>28</v>
      </c>
      <c r="C308" s="17" t="s">
        <v>629</v>
      </c>
      <c r="D308" s="17" t="s">
        <v>697</v>
      </c>
      <c r="E308" s="17" t="s">
        <v>697</v>
      </c>
      <c r="F308" s="17" t="s">
        <v>629</v>
      </c>
      <c r="G308" s="17" t="s">
        <v>630</v>
      </c>
      <c r="H308" s="18">
        <f>ROUND(SUMPRODUCT(SUMIF(Final!$G$5:$G$331,CashReserveLevy!D308:F308,Final!$C$5:$C$331)),0)</f>
        <v>4193505</v>
      </c>
      <c r="I308" s="18">
        <f t="shared" si="21"/>
        <v>838701</v>
      </c>
      <c r="J308" s="18">
        <f>ROUND(SUMPRODUCT(SUMIF(Final!$G$5:$G$331,CashReserveLevy!D308:F308,Final!$E$5:$E$331)),0)</f>
        <v>733831</v>
      </c>
      <c r="K308" s="18">
        <f t="shared" si="22"/>
        <v>104870</v>
      </c>
      <c r="L308" s="18">
        <f>INDEX(ActualCRLevy_SAS!$A$2:$D$328,MATCH(CashReserveLevy!$C308,ActualCRLevy_SAS!$B$2:$B$328,0),4)</f>
        <v>104870</v>
      </c>
      <c r="M308" s="19" t="str">
        <f t="shared" si="23"/>
        <v>Max</v>
      </c>
      <c r="N308" s="1" t="str">
        <f t="shared" si="24"/>
        <v/>
      </c>
      <c r="O308" s="1" t="str">
        <f t="shared" si="25"/>
        <v/>
      </c>
    </row>
    <row r="309" spans="1:15" x14ac:dyDescent="0.2">
      <c r="A309" s="17">
        <v>2023</v>
      </c>
      <c r="B309" s="17" t="s">
        <v>0</v>
      </c>
      <c r="C309" s="17" t="s">
        <v>631</v>
      </c>
      <c r="D309" s="17" t="s">
        <v>697</v>
      </c>
      <c r="E309" s="17" t="s">
        <v>697</v>
      </c>
      <c r="F309" s="17" t="s">
        <v>631</v>
      </c>
      <c r="G309" s="17" t="s">
        <v>632</v>
      </c>
      <c r="H309" s="18">
        <f>ROUND(SUMPRODUCT(SUMIF(Final!$G$5:$G$331,CashReserveLevy!D309:F309,Final!$C$5:$C$331)),0)</f>
        <v>10964550</v>
      </c>
      <c r="I309" s="18">
        <f t="shared" si="21"/>
        <v>2192910</v>
      </c>
      <c r="J309" s="18">
        <f>ROUND(SUMPRODUCT(SUMIF(Final!$G$5:$G$331,CashReserveLevy!D309:F309,Final!$E$5:$E$331)),0)</f>
        <v>2243112</v>
      </c>
      <c r="K309" s="18">
        <f t="shared" si="22"/>
        <v>0</v>
      </c>
      <c r="L309" s="18">
        <f>INDEX(ActualCRLevy_SAS!$A$2:$D$328,MATCH(CashReserveLevy!$C309,ActualCRLevy_SAS!$B$2:$B$328,0),4)</f>
        <v>0</v>
      </c>
      <c r="M309" s="19" t="str">
        <f t="shared" si="23"/>
        <v/>
      </c>
      <c r="N309" s="1" t="str">
        <f t="shared" si="24"/>
        <v/>
      </c>
      <c r="O309" s="1" t="str">
        <f t="shared" si="25"/>
        <v/>
      </c>
    </row>
    <row r="310" spans="1:15" x14ac:dyDescent="0.2">
      <c r="A310" s="17">
        <v>2023</v>
      </c>
      <c r="B310" s="17" t="s">
        <v>28</v>
      </c>
      <c r="C310" s="17" t="s">
        <v>633</v>
      </c>
      <c r="D310" s="17" t="s">
        <v>697</v>
      </c>
      <c r="E310" s="17" t="s">
        <v>697</v>
      </c>
      <c r="F310" s="17" t="s">
        <v>633</v>
      </c>
      <c r="G310" s="17" t="s">
        <v>634</v>
      </c>
      <c r="H310" s="18">
        <f>ROUND(SUMPRODUCT(SUMIF(Final!$G$5:$G$331,CashReserveLevy!D310:F310,Final!$C$5:$C$331)),0)</f>
        <v>17668656</v>
      </c>
      <c r="I310" s="18">
        <f t="shared" si="21"/>
        <v>3533731</v>
      </c>
      <c r="J310" s="18">
        <f>ROUND(SUMPRODUCT(SUMIF(Final!$G$5:$G$331,CashReserveLevy!D310:F310,Final!$E$5:$E$331)),0)</f>
        <v>2240580</v>
      </c>
      <c r="K310" s="18">
        <f t="shared" si="22"/>
        <v>1293151</v>
      </c>
      <c r="L310" s="18">
        <f>INDEX(ActualCRLevy_SAS!$A$2:$D$328,MATCH(CashReserveLevy!$C310,ActualCRLevy_SAS!$B$2:$B$328,0),4)</f>
        <v>300000</v>
      </c>
      <c r="M310" s="19" t="str">
        <f t="shared" si="23"/>
        <v/>
      </c>
      <c r="N310" s="1" t="str">
        <f t="shared" si="24"/>
        <v/>
      </c>
      <c r="O310" s="1" t="str">
        <f t="shared" si="25"/>
        <v/>
      </c>
    </row>
    <row r="311" spans="1:15" x14ac:dyDescent="0.2">
      <c r="A311" s="17">
        <v>2023</v>
      </c>
      <c r="B311" s="17" t="s">
        <v>0</v>
      </c>
      <c r="C311" s="17" t="s">
        <v>635</v>
      </c>
      <c r="D311" s="17" t="s">
        <v>697</v>
      </c>
      <c r="E311" s="17" t="s">
        <v>697</v>
      </c>
      <c r="F311" s="17" t="s">
        <v>635</v>
      </c>
      <c r="G311" s="17" t="s">
        <v>636</v>
      </c>
      <c r="H311" s="18">
        <f>ROUND(SUMPRODUCT(SUMIF(Final!$G$5:$G$331,CashReserveLevy!D311:F311,Final!$C$5:$C$331)),0)</f>
        <v>122599925</v>
      </c>
      <c r="I311" s="18">
        <f t="shared" si="21"/>
        <v>24519985</v>
      </c>
      <c r="J311" s="18">
        <f>ROUND(SUMPRODUCT(SUMIF(Final!$G$5:$G$331,CashReserveLevy!D311:F311,Final!$E$5:$E$331)),0)</f>
        <v>13007006</v>
      </c>
      <c r="K311" s="18">
        <f t="shared" si="22"/>
        <v>11512979</v>
      </c>
      <c r="L311" s="18">
        <f>INDEX(ActualCRLevy_SAS!$A$2:$D$328,MATCH(CashReserveLevy!$C311,ActualCRLevy_SAS!$B$2:$B$328,0),4)</f>
        <v>11512979</v>
      </c>
      <c r="M311" s="19" t="str">
        <f t="shared" si="23"/>
        <v>Max</v>
      </c>
      <c r="N311" s="1" t="str">
        <f t="shared" si="24"/>
        <v/>
      </c>
      <c r="O311" s="1" t="str">
        <f t="shared" si="25"/>
        <v/>
      </c>
    </row>
    <row r="312" spans="1:15" x14ac:dyDescent="0.2">
      <c r="A312" s="17">
        <v>2023</v>
      </c>
      <c r="B312" s="17" t="s">
        <v>5</v>
      </c>
      <c r="C312" s="17" t="s">
        <v>637</v>
      </c>
      <c r="D312" s="17" t="s">
        <v>697</v>
      </c>
      <c r="E312" s="17" t="s">
        <v>697</v>
      </c>
      <c r="F312" s="17" t="s">
        <v>637</v>
      </c>
      <c r="G312" s="17" t="s">
        <v>638</v>
      </c>
      <c r="H312" s="18">
        <f>ROUND(SUMPRODUCT(SUMIF(Final!$G$5:$G$331,CashReserveLevy!D312:F312,Final!$C$5:$C$331)),0)</f>
        <v>8788418</v>
      </c>
      <c r="I312" s="18">
        <f t="shared" si="21"/>
        <v>1757684</v>
      </c>
      <c r="J312" s="18">
        <f>ROUND(SUMPRODUCT(SUMIF(Final!$G$5:$G$331,CashReserveLevy!D312:F312,Final!$E$5:$E$331)),0)</f>
        <v>1103567</v>
      </c>
      <c r="K312" s="18">
        <f t="shared" si="22"/>
        <v>654117</v>
      </c>
      <c r="L312" s="18">
        <f>INDEX(ActualCRLevy_SAS!$A$2:$D$328,MATCH(CashReserveLevy!$C312,ActualCRLevy_SAS!$B$2:$B$328,0),4)</f>
        <v>640000</v>
      </c>
      <c r="M312" s="19" t="str">
        <f t="shared" si="23"/>
        <v/>
      </c>
      <c r="N312" s="1" t="str">
        <f t="shared" si="24"/>
        <v/>
      </c>
      <c r="O312" s="1" t="str">
        <f t="shared" si="25"/>
        <v/>
      </c>
    </row>
    <row r="313" spans="1:15" x14ac:dyDescent="0.2">
      <c r="A313" s="17">
        <v>2023</v>
      </c>
      <c r="B313" s="17" t="s">
        <v>5</v>
      </c>
      <c r="C313" s="17" t="s">
        <v>639</v>
      </c>
      <c r="D313" s="17" t="s">
        <v>697</v>
      </c>
      <c r="E313" s="17" t="s">
        <v>697</v>
      </c>
      <c r="F313" s="17" t="s">
        <v>639</v>
      </c>
      <c r="G313" s="17" t="s">
        <v>640</v>
      </c>
      <c r="H313" s="18">
        <f>ROUND(SUMPRODUCT(SUMIF(Final!$G$5:$G$331,CashReserveLevy!D313:F313,Final!$C$5:$C$331)),0)</f>
        <v>7118076</v>
      </c>
      <c r="I313" s="18">
        <f t="shared" si="21"/>
        <v>1423615</v>
      </c>
      <c r="J313" s="18">
        <f>ROUND(SUMPRODUCT(SUMIF(Final!$G$5:$G$331,CashReserveLevy!D313:F313,Final!$E$5:$E$331)),0)</f>
        <v>1302107</v>
      </c>
      <c r="K313" s="18">
        <f t="shared" si="22"/>
        <v>121508</v>
      </c>
      <c r="L313" s="18">
        <f>INDEX(ActualCRLevy_SAS!$A$2:$D$328,MATCH(CashReserveLevy!$C313,ActualCRLevy_SAS!$B$2:$B$328,0),4)</f>
        <v>121508</v>
      </c>
      <c r="M313" s="19" t="str">
        <f t="shared" si="23"/>
        <v>Max</v>
      </c>
      <c r="N313" s="1" t="str">
        <f t="shared" si="24"/>
        <v/>
      </c>
      <c r="O313" s="1" t="str">
        <f t="shared" si="25"/>
        <v/>
      </c>
    </row>
    <row r="314" spans="1:15" x14ac:dyDescent="0.2">
      <c r="A314" s="17">
        <v>2023</v>
      </c>
      <c r="B314" s="17" t="s">
        <v>8</v>
      </c>
      <c r="C314" s="17" t="s">
        <v>641</v>
      </c>
      <c r="D314" s="17" t="s">
        <v>697</v>
      </c>
      <c r="E314" s="17" t="s">
        <v>697</v>
      </c>
      <c r="F314" s="17" t="s">
        <v>641</v>
      </c>
      <c r="G314" s="17" t="s">
        <v>642</v>
      </c>
      <c r="H314" s="18">
        <f>ROUND(SUMPRODUCT(SUMIF(Final!$G$5:$G$331,CashReserveLevy!D314:F314,Final!$C$5:$C$331)),0)</f>
        <v>5216152</v>
      </c>
      <c r="I314" s="18">
        <f t="shared" si="21"/>
        <v>1043230</v>
      </c>
      <c r="J314" s="18">
        <f>ROUND(SUMPRODUCT(SUMIF(Final!$G$5:$G$331,CashReserveLevy!D314:F314,Final!$E$5:$E$331)),0)</f>
        <v>979864</v>
      </c>
      <c r="K314" s="18">
        <f t="shared" si="22"/>
        <v>63366</v>
      </c>
      <c r="L314" s="18">
        <f>INDEX(ActualCRLevy_SAS!$A$2:$D$328,MATCH(CashReserveLevy!$C314,ActualCRLevy_SAS!$B$2:$B$328,0),4)</f>
        <v>63366</v>
      </c>
      <c r="M314" s="19" t="str">
        <f t="shared" si="23"/>
        <v>Max</v>
      </c>
      <c r="N314" s="1" t="str">
        <f t="shared" si="24"/>
        <v/>
      </c>
      <c r="O314" s="1" t="str">
        <f t="shared" si="25"/>
        <v/>
      </c>
    </row>
    <row r="315" spans="1:15" x14ac:dyDescent="0.2">
      <c r="A315" s="17">
        <v>2023</v>
      </c>
      <c r="B315" s="17" t="s">
        <v>37</v>
      </c>
      <c r="C315" s="17" t="s">
        <v>643</v>
      </c>
      <c r="D315" s="17" t="s">
        <v>697</v>
      </c>
      <c r="E315" s="17" t="s">
        <v>697</v>
      </c>
      <c r="F315" s="17" t="s">
        <v>643</v>
      </c>
      <c r="G315" s="17" t="s">
        <v>644</v>
      </c>
      <c r="H315" s="18">
        <f>ROUND(SUMPRODUCT(SUMIF(Final!$G$5:$G$331,CashReserveLevy!D315:F315,Final!$C$5:$C$331)),0)</f>
        <v>14957247</v>
      </c>
      <c r="I315" s="18">
        <f t="shared" si="21"/>
        <v>2991449</v>
      </c>
      <c r="J315" s="18">
        <f>ROUND(SUMPRODUCT(SUMIF(Final!$G$5:$G$331,CashReserveLevy!D315:F315,Final!$E$5:$E$331)),0)</f>
        <v>6909183</v>
      </c>
      <c r="K315" s="18">
        <f t="shared" si="22"/>
        <v>0</v>
      </c>
      <c r="L315" s="18">
        <f>INDEX(ActualCRLevy_SAS!$A$2:$D$328,MATCH(CashReserveLevy!$C315,ActualCRLevy_SAS!$B$2:$B$328,0),4)</f>
        <v>0</v>
      </c>
      <c r="M315" s="19" t="str">
        <f t="shared" si="23"/>
        <v/>
      </c>
      <c r="N315" s="1" t="str">
        <f t="shared" si="24"/>
        <v/>
      </c>
      <c r="O315" s="1" t="str">
        <f t="shared" si="25"/>
        <v/>
      </c>
    </row>
    <row r="316" spans="1:15" x14ac:dyDescent="0.2">
      <c r="A316" s="17">
        <v>2023</v>
      </c>
      <c r="B316" s="17" t="s">
        <v>11</v>
      </c>
      <c r="C316" s="17" t="s">
        <v>645</v>
      </c>
      <c r="D316" s="17" t="s">
        <v>697</v>
      </c>
      <c r="E316" s="17" t="s">
        <v>697</v>
      </c>
      <c r="F316" s="17" t="s">
        <v>645</v>
      </c>
      <c r="G316" s="17" t="s">
        <v>646</v>
      </c>
      <c r="H316" s="18">
        <f>ROUND(SUMPRODUCT(SUMIF(Final!$G$5:$G$331,CashReserveLevy!D316:F316,Final!$C$5:$C$331)),0)</f>
        <v>10380063</v>
      </c>
      <c r="I316" s="18">
        <f t="shared" si="21"/>
        <v>2076013</v>
      </c>
      <c r="J316" s="18">
        <f>ROUND(SUMPRODUCT(SUMIF(Final!$G$5:$G$331,CashReserveLevy!D316:F316,Final!$E$5:$E$331)),0)</f>
        <v>1829942</v>
      </c>
      <c r="K316" s="18">
        <f t="shared" si="22"/>
        <v>246071</v>
      </c>
      <c r="L316" s="18">
        <f>INDEX(ActualCRLevy_SAS!$A$2:$D$328,MATCH(CashReserveLevy!$C316,ActualCRLevy_SAS!$B$2:$B$328,0),4)</f>
        <v>36760</v>
      </c>
      <c r="M316" s="19" t="str">
        <f t="shared" si="23"/>
        <v/>
      </c>
      <c r="N316" s="1" t="str">
        <f t="shared" si="24"/>
        <v/>
      </c>
      <c r="O316" s="1" t="str">
        <f t="shared" si="25"/>
        <v/>
      </c>
    </row>
    <row r="317" spans="1:15" x14ac:dyDescent="0.2">
      <c r="A317" s="17">
        <v>2023</v>
      </c>
      <c r="B317" s="17" t="s">
        <v>5</v>
      </c>
      <c r="C317" s="17" t="s">
        <v>647</v>
      </c>
      <c r="D317" s="17" t="s">
        <v>697</v>
      </c>
      <c r="E317" s="17" t="s">
        <v>697</v>
      </c>
      <c r="F317" s="17" t="s">
        <v>647</v>
      </c>
      <c r="G317" s="17" t="s">
        <v>648</v>
      </c>
      <c r="H317" s="18">
        <f>ROUND(SUMPRODUCT(SUMIF(Final!$G$5:$G$331,CashReserveLevy!D317:F317,Final!$C$5:$C$331)),0)</f>
        <v>10188945</v>
      </c>
      <c r="I317" s="18">
        <f t="shared" si="21"/>
        <v>2037789</v>
      </c>
      <c r="J317" s="18">
        <f>ROUND(SUMPRODUCT(SUMIF(Final!$G$5:$G$331,CashReserveLevy!D317:F317,Final!$E$5:$E$331)),0)</f>
        <v>4288145</v>
      </c>
      <c r="K317" s="18">
        <f t="shared" si="22"/>
        <v>0</v>
      </c>
      <c r="L317" s="18">
        <f>INDEX(ActualCRLevy_SAS!$A$2:$D$328,MATCH(CashReserveLevy!$C317,ActualCRLevy_SAS!$B$2:$B$328,0),4)</f>
        <v>0</v>
      </c>
      <c r="M317" s="19" t="str">
        <f t="shared" si="23"/>
        <v/>
      </c>
      <c r="N317" s="1" t="str">
        <f t="shared" si="24"/>
        <v/>
      </c>
      <c r="O317" s="1" t="str">
        <f t="shared" si="25"/>
        <v/>
      </c>
    </row>
    <row r="318" spans="1:15" x14ac:dyDescent="0.2">
      <c r="A318" s="17">
        <v>2023</v>
      </c>
      <c r="B318" s="17" t="s">
        <v>11</v>
      </c>
      <c r="C318" s="17" t="s">
        <v>649</v>
      </c>
      <c r="D318" s="17" t="s">
        <v>697</v>
      </c>
      <c r="E318" s="17" t="s">
        <v>697</v>
      </c>
      <c r="F318" s="17" t="s">
        <v>649</v>
      </c>
      <c r="G318" s="17" t="s">
        <v>650</v>
      </c>
      <c r="H318" s="18">
        <f>ROUND(SUMPRODUCT(SUMIF(Final!$G$5:$G$331,CashReserveLevy!D318:F318,Final!$C$5:$C$331)),0)</f>
        <v>7810847</v>
      </c>
      <c r="I318" s="18">
        <f t="shared" si="21"/>
        <v>1562169</v>
      </c>
      <c r="J318" s="18">
        <f>ROUND(SUMPRODUCT(SUMIF(Final!$G$5:$G$331,CashReserveLevy!D318:F318,Final!$E$5:$E$331)),0)</f>
        <v>3213860</v>
      </c>
      <c r="K318" s="18">
        <f t="shared" si="22"/>
        <v>0</v>
      </c>
      <c r="L318" s="18">
        <f>INDEX(ActualCRLevy_SAS!$A$2:$D$328,MATCH(CashReserveLevy!$C318,ActualCRLevy_SAS!$B$2:$B$328,0),4)</f>
        <v>0</v>
      </c>
      <c r="M318" s="19" t="str">
        <f t="shared" si="23"/>
        <v/>
      </c>
      <c r="N318" s="1" t="str">
        <f t="shared" si="24"/>
        <v/>
      </c>
      <c r="O318" s="1" t="str">
        <f t="shared" si="25"/>
        <v/>
      </c>
    </row>
    <row r="319" spans="1:15" x14ac:dyDescent="0.2">
      <c r="A319" s="17">
        <v>2023</v>
      </c>
      <c r="B319" s="17" t="s">
        <v>11</v>
      </c>
      <c r="C319" s="17" t="s">
        <v>651</v>
      </c>
      <c r="D319" s="17" t="s">
        <v>697</v>
      </c>
      <c r="E319" s="17" t="s">
        <v>697</v>
      </c>
      <c r="F319" s="17" t="s">
        <v>651</v>
      </c>
      <c r="G319" s="17" t="s">
        <v>652</v>
      </c>
      <c r="H319" s="18">
        <f>ROUND(SUMPRODUCT(SUMIF(Final!$G$5:$G$331,CashReserveLevy!D319:F319,Final!$C$5:$C$331)),0)</f>
        <v>11182358</v>
      </c>
      <c r="I319" s="18">
        <f t="shared" si="21"/>
        <v>2236472</v>
      </c>
      <c r="J319" s="18">
        <f>ROUND(SUMPRODUCT(SUMIF(Final!$G$5:$G$331,CashReserveLevy!D319:F319,Final!$E$5:$E$331)),0)</f>
        <v>1647159</v>
      </c>
      <c r="K319" s="18">
        <f t="shared" si="22"/>
        <v>589313</v>
      </c>
      <c r="L319" s="18">
        <f>INDEX(ActualCRLevy_SAS!$A$2:$D$328,MATCH(CashReserveLevy!$C319,ActualCRLevy_SAS!$B$2:$B$328,0),4)</f>
        <v>580313</v>
      </c>
      <c r="M319" s="19" t="str">
        <f t="shared" si="23"/>
        <v/>
      </c>
      <c r="N319" s="1" t="str">
        <f t="shared" si="24"/>
        <v/>
      </c>
      <c r="O319" s="1" t="str">
        <f t="shared" si="25"/>
        <v/>
      </c>
    </row>
    <row r="320" spans="1:15" x14ac:dyDescent="0.2">
      <c r="A320" s="17">
        <v>2023</v>
      </c>
      <c r="B320" s="17" t="s">
        <v>28</v>
      </c>
      <c r="C320" s="17" t="s">
        <v>653</v>
      </c>
      <c r="D320" s="17" t="s">
        <v>697</v>
      </c>
      <c r="E320" s="17" t="s">
        <v>697</v>
      </c>
      <c r="F320" s="17" t="s">
        <v>653</v>
      </c>
      <c r="G320" s="17" t="s">
        <v>654</v>
      </c>
      <c r="H320" s="18">
        <f>ROUND(SUMPRODUCT(SUMIF(Final!$G$5:$G$331,CashReserveLevy!D320:F320,Final!$C$5:$C$331)),0)</f>
        <v>41276244</v>
      </c>
      <c r="I320" s="18">
        <f t="shared" si="21"/>
        <v>8255249</v>
      </c>
      <c r="J320" s="18">
        <f>ROUND(SUMPRODUCT(SUMIF(Final!$G$5:$G$331,CashReserveLevy!D320:F320,Final!$E$5:$E$331)),0)</f>
        <v>6363723</v>
      </c>
      <c r="K320" s="18">
        <f t="shared" si="22"/>
        <v>1891526</v>
      </c>
      <c r="L320" s="18">
        <f>INDEX(ActualCRLevy_SAS!$A$2:$D$328,MATCH(CashReserveLevy!$C320,ActualCRLevy_SAS!$B$2:$B$328,0),4)</f>
        <v>1891526</v>
      </c>
      <c r="M320" s="19" t="str">
        <f t="shared" si="23"/>
        <v>Max</v>
      </c>
      <c r="N320" s="1" t="str">
        <f t="shared" si="24"/>
        <v/>
      </c>
      <c r="O320" s="1" t="str">
        <f t="shared" si="25"/>
        <v/>
      </c>
    </row>
    <row r="321" spans="1:15" x14ac:dyDescent="0.2">
      <c r="A321" s="17">
        <v>2023</v>
      </c>
      <c r="B321" s="17" t="s">
        <v>11</v>
      </c>
      <c r="C321" s="17" t="s">
        <v>655</v>
      </c>
      <c r="D321" s="17" t="s">
        <v>697</v>
      </c>
      <c r="E321" s="17" t="s">
        <v>697</v>
      </c>
      <c r="F321" s="17" t="s">
        <v>655</v>
      </c>
      <c r="G321" s="17" t="s">
        <v>656</v>
      </c>
      <c r="H321" s="18">
        <f>ROUND(SUMPRODUCT(SUMIF(Final!$G$5:$G$331,CashReserveLevy!D321:F321,Final!$C$5:$C$331)),0)</f>
        <v>6901524</v>
      </c>
      <c r="I321" s="18">
        <f t="shared" si="21"/>
        <v>1380305</v>
      </c>
      <c r="J321" s="18">
        <f>ROUND(SUMPRODUCT(SUMIF(Final!$G$5:$G$331,CashReserveLevy!D321:F321,Final!$E$5:$E$331)),0)</f>
        <v>2706835</v>
      </c>
      <c r="K321" s="18">
        <f t="shared" si="22"/>
        <v>0</v>
      </c>
      <c r="L321" s="18">
        <f>INDEX(ActualCRLevy_SAS!$A$2:$D$328,MATCH(CashReserveLevy!$C321,ActualCRLevy_SAS!$B$2:$B$328,0),4)</f>
        <v>0</v>
      </c>
      <c r="M321" s="19" t="str">
        <f t="shared" si="23"/>
        <v/>
      </c>
      <c r="N321" s="1" t="str">
        <f t="shared" si="24"/>
        <v/>
      </c>
      <c r="O321" s="1" t="str">
        <f t="shared" si="25"/>
        <v/>
      </c>
    </row>
    <row r="322" spans="1:15" x14ac:dyDescent="0.2">
      <c r="A322" s="17">
        <v>2023</v>
      </c>
      <c r="B322" s="17" t="s">
        <v>11</v>
      </c>
      <c r="C322" s="17" t="s">
        <v>657</v>
      </c>
      <c r="D322" s="17" t="s">
        <v>697</v>
      </c>
      <c r="E322" s="17" t="s">
        <v>697</v>
      </c>
      <c r="F322" s="17" t="s">
        <v>657</v>
      </c>
      <c r="G322" s="17" t="s">
        <v>658</v>
      </c>
      <c r="H322" s="18">
        <f>ROUND(SUMPRODUCT(SUMIF(Final!$G$5:$G$331,CashReserveLevy!D322:F322,Final!$C$5:$C$331)),0)</f>
        <v>2817709</v>
      </c>
      <c r="I322" s="18">
        <f t="shared" si="21"/>
        <v>563542</v>
      </c>
      <c r="J322" s="18">
        <f>ROUND(SUMPRODUCT(SUMIF(Final!$G$5:$G$331,CashReserveLevy!D322:F322,Final!$E$5:$E$331)),0)</f>
        <v>837787</v>
      </c>
      <c r="K322" s="18">
        <f t="shared" si="22"/>
        <v>0</v>
      </c>
      <c r="L322" s="18">
        <f>INDEX(ActualCRLevy_SAS!$A$2:$D$328,MATCH(CashReserveLevy!$C322,ActualCRLevy_SAS!$B$2:$B$328,0),4)</f>
        <v>0</v>
      </c>
      <c r="M322" s="19" t="str">
        <f t="shared" si="23"/>
        <v/>
      </c>
      <c r="N322" s="1" t="str">
        <f t="shared" si="24"/>
        <v/>
      </c>
      <c r="O322" s="1" t="str">
        <f t="shared" si="25"/>
        <v/>
      </c>
    </row>
    <row r="323" spans="1:15" x14ac:dyDescent="0.2">
      <c r="A323" s="17">
        <v>2023</v>
      </c>
      <c r="B323" s="17" t="s">
        <v>20</v>
      </c>
      <c r="C323" s="17" t="s">
        <v>659</v>
      </c>
      <c r="D323" s="17" t="s">
        <v>697</v>
      </c>
      <c r="E323" s="17" t="s">
        <v>697</v>
      </c>
      <c r="F323" s="17" t="s">
        <v>659</v>
      </c>
      <c r="G323" s="17" t="s">
        <v>660</v>
      </c>
      <c r="H323" s="18">
        <f>ROUND(SUMPRODUCT(SUMIF(Final!$G$5:$G$331,CashReserveLevy!D323:F323,Final!$C$5:$C$331)),0)</f>
        <v>14274666</v>
      </c>
      <c r="I323" s="18">
        <f t="shared" si="21"/>
        <v>2854933</v>
      </c>
      <c r="J323" s="18">
        <f>ROUND(SUMPRODUCT(SUMIF(Final!$G$5:$G$331,CashReserveLevy!D323:F323,Final!$E$5:$E$331)),0)</f>
        <v>2825230</v>
      </c>
      <c r="K323" s="18">
        <f t="shared" si="22"/>
        <v>29703</v>
      </c>
      <c r="L323" s="18">
        <f>INDEX(ActualCRLevy_SAS!$A$2:$D$328,MATCH(CashReserveLevy!$C323,ActualCRLevy_SAS!$B$2:$B$328,0),4)</f>
        <v>29703</v>
      </c>
      <c r="M323" s="19" t="str">
        <f t="shared" si="23"/>
        <v>Max</v>
      </c>
      <c r="N323" s="1" t="str">
        <f t="shared" si="24"/>
        <v/>
      </c>
      <c r="O323" s="1" t="str">
        <f t="shared" si="25"/>
        <v/>
      </c>
    </row>
    <row r="324" spans="1:15" x14ac:dyDescent="0.2">
      <c r="A324" s="17">
        <v>2023</v>
      </c>
      <c r="B324" s="17" t="s">
        <v>37</v>
      </c>
      <c r="C324" s="17" t="s">
        <v>661</v>
      </c>
      <c r="D324" s="17" t="s">
        <v>697</v>
      </c>
      <c r="E324" s="17" t="s">
        <v>697</v>
      </c>
      <c r="F324" s="17" t="s">
        <v>661</v>
      </c>
      <c r="G324" s="17" t="s">
        <v>662</v>
      </c>
      <c r="H324" s="18">
        <f>ROUND(SUMPRODUCT(SUMIF(Final!$G$5:$G$331,CashReserveLevy!D324:F324,Final!$C$5:$C$331)),0)</f>
        <v>10665914</v>
      </c>
      <c r="I324" s="18">
        <f t="shared" ref="I324:I328" si="26">ROUND(H324*0.2,0)</f>
        <v>2133183</v>
      </c>
      <c r="J324" s="18">
        <f>ROUND(SUMPRODUCT(SUMIF(Final!$G$5:$G$331,CashReserveLevy!D324:F324,Final!$E$5:$E$331)),0)</f>
        <v>3131211</v>
      </c>
      <c r="K324" s="18">
        <f t="shared" ref="K324:K328" si="27">IF(I324&gt;J324,I324-J324,0)</f>
        <v>0</v>
      </c>
      <c r="L324" s="18">
        <f>INDEX(ActualCRLevy_SAS!$A$2:$D$328,MATCH(CashReserveLevy!$C324,ActualCRLevy_SAS!$B$2:$B$328,0),4)</f>
        <v>0</v>
      </c>
      <c r="M324" s="19" t="str">
        <f t="shared" ref="M324:M329" si="28">IF(AND(L324=K324,K324&gt;0),"Max","")</f>
        <v/>
      </c>
      <c r="N324" s="1" t="str">
        <f t="shared" ref="N324:N329" si="29">IF(AND(L324&lt;K324,L324=0),"No Levy but have Capacity","")</f>
        <v/>
      </c>
      <c r="O324" s="1" t="str">
        <f t="shared" si="25"/>
        <v/>
      </c>
    </row>
    <row r="325" spans="1:15" x14ac:dyDescent="0.2">
      <c r="A325" s="17">
        <v>2023</v>
      </c>
      <c r="B325" s="17" t="s">
        <v>17</v>
      </c>
      <c r="C325" s="17" t="s">
        <v>663</v>
      </c>
      <c r="D325" s="17" t="s">
        <v>697</v>
      </c>
      <c r="E325" s="17" t="s">
        <v>697</v>
      </c>
      <c r="F325" s="17" t="s">
        <v>663</v>
      </c>
      <c r="G325" s="17" t="s">
        <v>664</v>
      </c>
      <c r="H325" s="18">
        <f>ROUND(SUMPRODUCT(SUMIF(Final!$G$5:$G$331,CashReserveLevy!D325:F325,Final!$C$5:$C$331)),0)</f>
        <v>4681480</v>
      </c>
      <c r="I325" s="18">
        <f t="shared" si="26"/>
        <v>936296</v>
      </c>
      <c r="J325" s="18">
        <f>ROUND(SUMPRODUCT(SUMIF(Final!$G$5:$G$331,CashReserveLevy!D325:F325,Final!$E$5:$E$331)),0)</f>
        <v>808711</v>
      </c>
      <c r="K325" s="18">
        <f t="shared" si="27"/>
        <v>127585</v>
      </c>
      <c r="L325" s="18">
        <f>INDEX(ActualCRLevy_SAS!$A$2:$D$328,MATCH(CashReserveLevy!$C325,ActualCRLevy_SAS!$B$2:$B$328,0),4)</f>
        <v>127585</v>
      </c>
      <c r="M325" s="19" t="str">
        <f t="shared" si="28"/>
        <v>Max</v>
      </c>
      <c r="N325" s="1" t="str">
        <f t="shared" si="29"/>
        <v/>
      </c>
      <c r="O325" s="1" t="str">
        <f t="shared" si="25"/>
        <v/>
      </c>
    </row>
    <row r="326" spans="1:15" x14ac:dyDescent="0.2">
      <c r="A326" s="17">
        <v>2023</v>
      </c>
      <c r="B326" s="17" t="s">
        <v>0</v>
      </c>
      <c r="C326" s="17" t="s">
        <v>665</v>
      </c>
      <c r="D326" s="17" t="s">
        <v>697</v>
      </c>
      <c r="E326" s="17" t="s">
        <v>697</v>
      </c>
      <c r="F326" s="17" t="s">
        <v>665</v>
      </c>
      <c r="G326" s="17" t="s">
        <v>666</v>
      </c>
      <c r="H326" s="18">
        <f>ROUND(SUMPRODUCT(SUMIF(Final!$G$5:$G$331,CashReserveLevy!D326:F326,Final!$C$5:$C$331)),0)</f>
        <v>20419099</v>
      </c>
      <c r="I326" s="18">
        <f t="shared" si="26"/>
        <v>4083820</v>
      </c>
      <c r="J326" s="18">
        <f>ROUND(SUMPRODUCT(SUMIF(Final!$G$5:$G$331,CashReserveLevy!D326:F326,Final!$E$5:$E$331)),0)</f>
        <v>3232042</v>
      </c>
      <c r="K326" s="18">
        <f t="shared" si="27"/>
        <v>851778</v>
      </c>
      <c r="L326" s="18">
        <f>INDEX(ActualCRLevy_SAS!$A$2:$D$328,MATCH(CashReserveLevy!$C326,ActualCRLevy_SAS!$B$2:$B$328,0),4)</f>
        <v>851778</v>
      </c>
      <c r="M326" s="19" t="str">
        <f t="shared" si="28"/>
        <v>Max</v>
      </c>
      <c r="N326" s="1" t="str">
        <f t="shared" si="29"/>
        <v/>
      </c>
      <c r="O326" s="1" t="str">
        <f t="shared" si="25"/>
        <v/>
      </c>
    </row>
    <row r="327" spans="1:15" x14ac:dyDescent="0.2">
      <c r="A327" s="17">
        <v>2023</v>
      </c>
      <c r="B327" s="17" t="s">
        <v>8</v>
      </c>
      <c r="C327" s="17" t="s">
        <v>667</v>
      </c>
      <c r="D327" s="17" t="s">
        <v>697</v>
      </c>
      <c r="E327" s="17" t="s">
        <v>697</v>
      </c>
      <c r="F327" s="17" t="s">
        <v>667</v>
      </c>
      <c r="G327" s="17" t="s">
        <v>668</v>
      </c>
      <c r="H327" s="18">
        <f>ROUND(SUMPRODUCT(SUMIF(Final!$G$5:$G$331,CashReserveLevy!D327:F327,Final!$C$5:$C$331)),0)</f>
        <v>6061909</v>
      </c>
      <c r="I327" s="18">
        <f t="shared" si="26"/>
        <v>1212382</v>
      </c>
      <c r="J327" s="18">
        <f>ROUND(SUMPRODUCT(SUMIF(Final!$G$5:$G$331,CashReserveLevy!D327:F327,Final!$E$5:$E$331)),0)</f>
        <v>1984745</v>
      </c>
      <c r="K327" s="18">
        <f t="shared" si="27"/>
        <v>0</v>
      </c>
      <c r="L327" s="18">
        <f>INDEX(ActualCRLevy_SAS!$A$2:$D$328,MATCH(CashReserveLevy!$C327,ActualCRLevy_SAS!$B$2:$B$328,0),4)</f>
        <v>0</v>
      </c>
      <c r="M327" s="19" t="str">
        <f t="shared" si="28"/>
        <v/>
      </c>
      <c r="N327" s="1" t="str">
        <f t="shared" si="29"/>
        <v/>
      </c>
      <c r="O327" s="1" t="str">
        <f t="shared" si="25"/>
        <v/>
      </c>
    </row>
    <row r="328" spans="1:15" x14ac:dyDescent="0.2">
      <c r="A328" s="17">
        <v>2023</v>
      </c>
      <c r="B328" s="17" t="s">
        <v>11</v>
      </c>
      <c r="C328" s="17" t="s">
        <v>669</v>
      </c>
      <c r="D328" s="17" t="s">
        <v>697</v>
      </c>
      <c r="E328" s="17" t="s">
        <v>697</v>
      </c>
      <c r="F328" s="17" t="s">
        <v>669</v>
      </c>
      <c r="G328" s="17" t="s">
        <v>670</v>
      </c>
      <c r="H328" s="18">
        <f>ROUND(SUMPRODUCT(SUMIF(Final!$G$5:$G$331,CashReserveLevy!D328:F328,Final!$C$5:$C$331)),0)</f>
        <v>7392867</v>
      </c>
      <c r="I328" s="18">
        <f t="shared" si="26"/>
        <v>1478573</v>
      </c>
      <c r="J328" s="18">
        <f>ROUND(SUMPRODUCT(SUMIF(Final!$G$5:$G$331,CashReserveLevy!D328:F328,Final!$E$5:$E$331)),0)</f>
        <v>732646</v>
      </c>
      <c r="K328" s="18">
        <f t="shared" si="27"/>
        <v>745927</v>
      </c>
      <c r="L328" s="18">
        <f>INDEX(ActualCRLevy_SAS!$A$2:$D$328,MATCH(CashReserveLevy!$C328,ActualCRLevy_SAS!$B$2:$B$328,0),4)</f>
        <v>275000</v>
      </c>
      <c r="M328" s="19" t="str">
        <f t="shared" si="28"/>
        <v/>
      </c>
      <c r="N328" s="1" t="str">
        <f t="shared" si="29"/>
        <v/>
      </c>
      <c r="O328" s="1" t="str">
        <f t="shared" si="25"/>
        <v/>
      </c>
    </row>
    <row r="329" spans="1:15" x14ac:dyDescent="0.2">
      <c r="A329" s="17">
        <v>2023</v>
      </c>
      <c r="B329" s="17" t="s">
        <v>0</v>
      </c>
      <c r="C329" s="17" t="s">
        <v>671</v>
      </c>
      <c r="D329" s="17" t="s">
        <v>697</v>
      </c>
      <c r="E329" s="17" t="s">
        <v>697</v>
      </c>
      <c r="F329" s="17" t="s">
        <v>671</v>
      </c>
      <c r="G329" s="17" t="s">
        <v>672</v>
      </c>
      <c r="H329" s="18">
        <f>ROUND(SUMPRODUCT(SUMIF(Final!$G$5:$G$331,CashReserveLevy!D329:F329,Final!$C$5:$C$331)),0)</f>
        <v>15705731</v>
      </c>
      <c r="I329" s="18">
        <f>ROUND(H329*0.2,0)</f>
        <v>3141146</v>
      </c>
      <c r="J329" s="18">
        <f>ROUND(SUMPRODUCT(SUMIF(Final!$G$5:$G$331,CashReserveLevy!D329:F329,Final!$E$5:$E$331)),0)</f>
        <v>3435474</v>
      </c>
      <c r="K329" s="18">
        <f>IF(I329&gt;J329,I329-J329,0)</f>
        <v>0</v>
      </c>
      <c r="L329" s="18">
        <f>INDEX(ActualCRLevy_SAS!$A$2:$D$328,MATCH(CashReserveLevy!$C329,ActualCRLevy_SAS!$B$2:$B$328,0),4)</f>
        <v>0</v>
      </c>
      <c r="M329" s="19" t="str">
        <f t="shared" si="28"/>
        <v/>
      </c>
      <c r="N329" s="1" t="str">
        <f t="shared" si="29"/>
        <v/>
      </c>
      <c r="O329" s="1" t="str">
        <f>IF(L329&gt;K329,"Exceedes Maximum Limit","")</f>
        <v/>
      </c>
    </row>
    <row r="330" spans="1:15" ht="13.5" thickBot="1" x14ac:dyDescent="0.25">
      <c r="H330" s="16">
        <f>SUM(H3:H329)</f>
        <v>6316377387</v>
      </c>
      <c r="I330" s="16">
        <f>SUM(I3:I329)</f>
        <v>1263275480</v>
      </c>
      <c r="J330" s="16">
        <f>SUM(J3:J329)</f>
        <v>1263521568</v>
      </c>
      <c r="K330" s="16">
        <f>SUM(K3:K329)</f>
        <v>255963389</v>
      </c>
      <c r="L330" s="16">
        <f>SUM(L3:L329)</f>
        <v>191705908</v>
      </c>
    </row>
    <row r="331" spans="1:15" ht="13.5" thickTop="1" x14ac:dyDescent="0.2"/>
    <row r="333" spans="1:15" hidden="1" x14ac:dyDescent="0.2">
      <c r="H333" s="2">
        <f>Final!C332</f>
        <v>6316377389.4500046</v>
      </c>
      <c r="I333" s="2"/>
      <c r="J333" s="2">
        <f>Final!E332</f>
        <v>1263521561.8000004</v>
      </c>
    </row>
    <row r="334" spans="1:15" hidden="1" x14ac:dyDescent="0.2">
      <c r="H334" s="2">
        <f>H333-H330</f>
        <v>2.4500045776367188</v>
      </c>
      <c r="I334" s="2"/>
      <c r="J334" s="2">
        <f>J333-J330</f>
        <v>-6.1999995708465576</v>
      </c>
    </row>
    <row r="336" spans="1:15" x14ac:dyDescent="0.2">
      <c r="K336" s="5" t="s">
        <v>693</v>
      </c>
      <c r="L336" s="9">
        <f>COUNTIF($K$3:$K$329,0)</f>
        <v>184</v>
      </c>
    </row>
    <row r="337" spans="10:12" x14ac:dyDescent="0.2">
      <c r="K337" s="5" t="s">
        <v>694</v>
      </c>
      <c r="L337" s="9">
        <f>COUNTIF($L$3:$L$329,"&gt;0")</f>
        <v>139</v>
      </c>
    </row>
    <row r="338" spans="10:12" x14ac:dyDescent="0.2">
      <c r="K338" s="5" t="s">
        <v>696</v>
      </c>
      <c r="L338" s="9">
        <f>COUNTIF($N$3:$N$329,"No Levy but have Capacity")</f>
        <v>4</v>
      </c>
    </row>
    <row r="339" spans="10:12" x14ac:dyDescent="0.2">
      <c r="K339" s="5" t="s">
        <v>695</v>
      </c>
      <c r="L339" s="9">
        <f>COUNTIF($M$3:$M$329,"Max")</f>
        <v>62</v>
      </c>
    </row>
    <row r="341" spans="10:12" ht="25.5" x14ac:dyDescent="0.2">
      <c r="J341" s="10" t="s">
        <v>699</v>
      </c>
      <c r="K341" s="11" t="s">
        <v>700</v>
      </c>
      <c r="L341" s="11" t="s">
        <v>701</v>
      </c>
    </row>
    <row r="342" spans="10:12" x14ac:dyDescent="0.2">
      <c r="J342" s="7">
        <v>2002</v>
      </c>
      <c r="K342" s="8">
        <v>68317829</v>
      </c>
      <c r="L342" s="7"/>
    </row>
    <row r="343" spans="10:12" x14ac:dyDescent="0.2">
      <c r="J343" s="7">
        <v>2003</v>
      </c>
      <c r="K343" s="8">
        <v>92775492</v>
      </c>
      <c r="L343" s="12">
        <f>(K343-K342)/K342</f>
        <v>0.35799824669487085</v>
      </c>
    </row>
    <row r="344" spans="10:12" x14ac:dyDescent="0.2">
      <c r="J344" s="7">
        <v>2004</v>
      </c>
      <c r="K344" s="8">
        <v>93735656</v>
      </c>
      <c r="L344" s="12">
        <f t="shared" ref="L344:L363" si="30">(K344-K343)/K343</f>
        <v>1.0349328031588343E-2</v>
      </c>
    </row>
    <row r="345" spans="10:12" x14ac:dyDescent="0.2">
      <c r="J345" s="7">
        <v>2005</v>
      </c>
      <c r="K345" s="8">
        <v>96591952</v>
      </c>
      <c r="L345" s="12">
        <f t="shared" si="30"/>
        <v>3.0471819602990776E-2</v>
      </c>
    </row>
    <row r="346" spans="10:12" x14ac:dyDescent="0.2">
      <c r="J346" s="7">
        <v>2006</v>
      </c>
      <c r="K346" s="8">
        <v>97853720</v>
      </c>
      <c r="L346" s="12">
        <f t="shared" si="30"/>
        <v>1.306286884025286E-2</v>
      </c>
    </row>
    <row r="347" spans="10:12" x14ac:dyDescent="0.2">
      <c r="J347" s="7">
        <v>2007</v>
      </c>
      <c r="K347" s="8">
        <v>119543594</v>
      </c>
      <c r="L347" s="12">
        <f t="shared" si="30"/>
        <v>0.22165610055499169</v>
      </c>
    </row>
    <row r="348" spans="10:12" x14ac:dyDescent="0.2">
      <c r="J348" s="7">
        <v>2008</v>
      </c>
      <c r="K348" s="8">
        <v>133598310</v>
      </c>
      <c r="L348" s="12">
        <f t="shared" si="30"/>
        <v>0.11756979633722574</v>
      </c>
    </row>
    <row r="349" spans="10:12" x14ac:dyDescent="0.2">
      <c r="J349" s="7">
        <v>2009</v>
      </c>
      <c r="K349" s="8">
        <v>154418943</v>
      </c>
      <c r="L349" s="12">
        <f t="shared" si="30"/>
        <v>0.15584503277024986</v>
      </c>
    </row>
    <row r="350" spans="10:12" x14ac:dyDescent="0.2">
      <c r="J350" s="7">
        <v>2010</v>
      </c>
      <c r="K350" s="8">
        <v>194327650</v>
      </c>
      <c r="L350" s="12">
        <f t="shared" si="30"/>
        <v>0.25844437362843498</v>
      </c>
    </row>
    <row r="351" spans="10:12" x14ac:dyDescent="0.2">
      <c r="J351" s="7">
        <v>2011</v>
      </c>
      <c r="K351" s="8">
        <v>298278645</v>
      </c>
      <c r="L351" s="12">
        <f t="shared" si="30"/>
        <v>0.53492642452064854</v>
      </c>
    </row>
    <row r="352" spans="10:12" x14ac:dyDescent="0.2">
      <c r="J352" s="7">
        <v>2012</v>
      </c>
      <c r="K352" s="8">
        <v>274120078</v>
      </c>
      <c r="L352" s="12">
        <f t="shared" si="30"/>
        <v>-8.099328398115796E-2</v>
      </c>
    </row>
    <row r="353" spans="10:12" x14ac:dyDescent="0.2">
      <c r="J353" s="7">
        <v>2013</v>
      </c>
      <c r="K353" s="8">
        <v>231935729</v>
      </c>
      <c r="L353" s="12">
        <f t="shared" si="30"/>
        <v>-0.15389003719749417</v>
      </c>
    </row>
    <row r="354" spans="10:12" x14ac:dyDescent="0.2">
      <c r="J354" s="7">
        <v>2014</v>
      </c>
      <c r="K354" s="8">
        <v>190880844</v>
      </c>
      <c r="L354" s="12">
        <f t="shared" si="30"/>
        <v>-0.17700974824797261</v>
      </c>
    </row>
    <row r="355" spans="10:12" x14ac:dyDescent="0.2">
      <c r="J355" s="7">
        <v>2015</v>
      </c>
      <c r="K355" s="8">
        <v>182986988</v>
      </c>
      <c r="L355" s="12">
        <f t="shared" si="30"/>
        <v>-4.1354888393096166E-2</v>
      </c>
    </row>
    <row r="356" spans="10:12" x14ac:dyDescent="0.2">
      <c r="J356" s="7">
        <v>2016</v>
      </c>
      <c r="K356" s="8">
        <v>208313187</v>
      </c>
      <c r="L356" s="12">
        <f t="shared" si="30"/>
        <v>0.13840437113484813</v>
      </c>
    </row>
    <row r="357" spans="10:12" x14ac:dyDescent="0.2">
      <c r="J357" s="7">
        <v>2017</v>
      </c>
      <c r="K357" s="8">
        <v>220376419</v>
      </c>
      <c r="L357" s="12">
        <f t="shared" si="30"/>
        <v>5.7909113550262181E-2</v>
      </c>
    </row>
    <row r="358" spans="10:12" x14ac:dyDescent="0.2">
      <c r="J358" s="7">
        <v>2018</v>
      </c>
      <c r="K358" s="8">
        <v>224656516</v>
      </c>
      <c r="L358" s="12">
        <f t="shared" si="30"/>
        <v>1.9421755827695883E-2</v>
      </c>
    </row>
    <row r="359" spans="10:12" x14ac:dyDescent="0.2">
      <c r="J359" s="7">
        <v>2019</v>
      </c>
      <c r="K359" s="8">
        <v>218411192</v>
      </c>
      <c r="L359" s="12">
        <f t="shared" si="30"/>
        <v>-2.7799434048020225E-2</v>
      </c>
    </row>
    <row r="360" spans="10:12" x14ac:dyDescent="0.2">
      <c r="J360" s="7">
        <v>2020</v>
      </c>
      <c r="K360" s="8">
        <v>229961645</v>
      </c>
      <c r="L360" s="12">
        <f t="shared" si="30"/>
        <v>5.2883979498633021E-2</v>
      </c>
    </row>
    <row r="361" spans="10:12" x14ac:dyDescent="0.2">
      <c r="J361" s="17">
        <v>2021</v>
      </c>
      <c r="K361" s="18">
        <v>225941109</v>
      </c>
      <c r="L361" s="12">
        <f t="shared" si="30"/>
        <v>-1.7483506869156375E-2</v>
      </c>
    </row>
    <row r="362" spans="10:12" x14ac:dyDescent="0.2">
      <c r="J362" s="17">
        <v>2022</v>
      </c>
      <c r="K362" s="18">
        <v>204983990</v>
      </c>
      <c r="L362" s="12">
        <f t="shared" si="30"/>
        <v>-9.2754785053303423E-2</v>
      </c>
    </row>
    <row r="363" spans="10:12" x14ac:dyDescent="0.2">
      <c r="J363" s="17">
        <v>2023</v>
      </c>
      <c r="K363" s="18">
        <v>191705908</v>
      </c>
      <c r="L363" s="12">
        <f t="shared" si="30"/>
        <v>-6.4776190569809863E-2</v>
      </c>
    </row>
  </sheetData>
  <mergeCells count="1">
    <mergeCell ref="C1:K1"/>
  </mergeCells>
  <pageMargins left="0.7" right="0.7" top="0.75" bottom="0.75" header="0.3" footer="0.3"/>
  <pageSetup scale="83" fitToHeight="0" orientation="landscape" r:id="rId1"/>
  <rowBreaks count="1" manualBreakCount="1">
    <brk id="3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2"/>
  <sheetViews>
    <sheetView showGridLines="0" workbookViewId="0">
      <pane xSplit="2" ySplit="4" topLeftCell="C304" activePane="bottomRight" state="frozen"/>
      <selection pane="topRight" activeCell="C1" sqref="C1"/>
      <selection pane="bottomLeft" activeCell="A5" sqref="A5"/>
      <selection pane="bottomRight" activeCell="D330" sqref="D330"/>
    </sheetView>
  </sheetViews>
  <sheetFormatPr defaultRowHeight="15" x14ac:dyDescent="0.25"/>
  <cols>
    <col min="1" max="1" width="13.7109375" bestFit="1" customWidth="1"/>
    <col min="2" max="2" width="49.140625" customWidth="1"/>
    <col min="3" max="3" width="15.42578125" bestFit="1" customWidth="1"/>
    <col min="4" max="4" width="19.85546875" bestFit="1" customWidth="1"/>
    <col min="5" max="5" width="20.7109375" bestFit="1" customWidth="1"/>
    <col min="6" max="6" width="17" bestFit="1" customWidth="1"/>
  </cols>
  <sheetData>
    <row r="1" spans="1:7" x14ac:dyDescent="0.25">
      <c r="A1" s="36" t="s">
        <v>1029</v>
      </c>
    </row>
    <row r="2" spans="1:7" ht="15.75" thickBot="1" x14ac:dyDescent="0.3">
      <c r="A2" s="37"/>
    </row>
    <row r="3" spans="1:7" ht="30" x14ac:dyDescent="0.25">
      <c r="A3" s="22" t="s">
        <v>679</v>
      </c>
      <c r="B3" s="39" t="s">
        <v>680</v>
      </c>
      <c r="C3" s="39" t="s">
        <v>681</v>
      </c>
      <c r="D3" s="39" t="s">
        <v>682</v>
      </c>
      <c r="E3" s="23" t="s">
        <v>683</v>
      </c>
      <c r="F3" s="41" t="s">
        <v>684</v>
      </c>
    </row>
    <row r="4" spans="1:7" x14ac:dyDescent="0.25">
      <c r="A4" s="24" t="s">
        <v>685</v>
      </c>
      <c r="B4" s="40"/>
      <c r="C4" s="40"/>
      <c r="D4" s="40"/>
      <c r="E4" s="25" t="s">
        <v>686</v>
      </c>
      <c r="F4" s="42"/>
    </row>
    <row r="5" spans="1:7" x14ac:dyDescent="0.25">
      <c r="A5" s="26" t="s">
        <v>6</v>
      </c>
      <c r="B5" s="27" t="s">
        <v>703</v>
      </c>
      <c r="C5" s="28">
        <v>8770625.9199999999</v>
      </c>
      <c r="D5" s="28">
        <v>1168674.42</v>
      </c>
      <c r="E5" s="28">
        <v>1190116.3700000001</v>
      </c>
      <c r="F5" s="29">
        <v>1744018.69</v>
      </c>
      <c r="G5" t="str">
        <f>TEXT(A5,"0000")</f>
        <v>0009</v>
      </c>
    </row>
    <row r="6" spans="1:7" x14ac:dyDescent="0.25">
      <c r="A6" s="26" t="s">
        <v>1</v>
      </c>
      <c r="B6" s="27" t="s">
        <v>704</v>
      </c>
      <c r="C6" s="28">
        <v>4522993.25</v>
      </c>
      <c r="D6" s="28">
        <v>1378419.48</v>
      </c>
      <c r="E6" s="28">
        <v>1371625.96</v>
      </c>
      <c r="F6" s="29">
        <v>1498913.15</v>
      </c>
      <c r="G6" t="str">
        <f t="shared" ref="G6:G69" si="0">TEXT(A6,"0000")</f>
        <v>0018</v>
      </c>
    </row>
    <row r="7" spans="1:7" x14ac:dyDescent="0.25">
      <c r="A7" s="26" t="s">
        <v>3</v>
      </c>
      <c r="B7" s="27" t="s">
        <v>705</v>
      </c>
      <c r="C7" s="28">
        <v>22005001.379999999</v>
      </c>
      <c r="D7" s="28">
        <v>3306950.63</v>
      </c>
      <c r="E7" s="28">
        <v>5246762.55</v>
      </c>
      <c r="F7" s="29">
        <v>5740498.3899999997</v>
      </c>
      <c r="G7" t="str">
        <f t="shared" si="0"/>
        <v>0027</v>
      </c>
    </row>
    <row r="8" spans="1:7" x14ac:dyDescent="0.25">
      <c r="A8" s="26" t="s">
        <v>12</v>
      </c>
      <c r="B8" s="27" t="s">
        <v>706</v>
      </c>
      <c r="C8" s="28">
        <v>7855862.5899999999</v>
      </c>
      <c r="D8" s="28">
        <v>1688799.29</v>
      </c>
      <c r="E8" s="28">
        <v>1922334.44</v>
      </c>
      <c r="F8" s="29">
        <v>2148837.4500000002</v>
      </c>
      <c r="G8" t="str">
        <f t="shared" si="0"/>
        <v>0063</v>
      </c>
    </row>
    <row r="9" spans="1:7" x14ac:dyDescent="0.25">
      <c r="A9" s="26" t="s">
        <v>15</v>
      </c>
      <c r="B9" s="27" t="s">
        <v>707</v>
      </c>
      <c r="C9" s="28">
        <v>2761298.44</v>
      </c>
      <c r="D9" s="28">
        <v>509986.91</v>
      </c>
      <c r="E9" s="28">
        <v>828331.79</v>
      </c>
      <c r="F9" s="29">
        <v>979112.65</v>
      </c>
      <c r="G9" t="str">
        <f t="shared" si="0"/>
        <v>0072</v>
      </c>
    </row>
    <row r="10" spans="1:7" x14ac:dyDescent="0.25">
      <c r="A10" s="26" t="s">
        <v>18</v>
      </c>
      <c r="B10" s="27" t="s">
        <v>708</v>
      </c>
      <c r="C10" s="28">
        <v>13919076.17</v>
      </c>
      <c r="D10" s="28">
        <v>1793958.98</v>
      </c>
      <c r="E10" s="28">
        <v>4209199.83</v>
      </c>
      <c r="F10" s="29">
        <v>4534863.97</v>
      </c>
      <c r="G10" t="str">
        <f t="shared" si="0"/>
        <v>0081</v>
      </c>
    </row>
    <row r="11" spans="1:7" x14ac:dyDescent="0.25">
      <c r="A11" s="26" t="s">
        <v>21</v>
      </c>
      <c r="B11" s="27" t="s">
        <v>709</v>
      </c>
      <c r="C11" s="28">
        <v>7445543.9100000001</v>
      </c>
      <c r="D11" s="28">
        <v>2238369.63</v>
      </c>
      <c r="E11" s="28">
        <v>2301527.46</v>
      </c>
      <c r="F11" s="29">
        <v>2380040.04</v>
      </c>
      <c r="G11" t="str">
        <f t="shared" si="0"/>
        <v>0099</v>
      </c>
    </row>
    <row r="12" spans="1:7" x14ac:dyDescent="0.25">
      <c r="A12" s="26" t="s">
        <v>23</v>
      </c>
      <c r="B12" s="27" t="s">
        <v>710</v>
      </c>
      <c r="C12" s="28">
        <v>3745323.64</v>
      </c>
      <c r="D12" s="28">
        <v>521096.22</v>
      </c>
      <c r="E12" s="28">
        <v>56929.89</v>
      </c>
      <c r="F12" s="29">
        <v>178841.2</v>
      </c>
      <c r="G12" t="str">
        <f t="shared" si="0"/>
        <v>0108</v>
      </c>
    </row>
    <row r="13" spans="1:7" x14ac:dyDescent="0.25">
      <c r="A13" s="26" t="s">
        <v>25</v>
      </c>
      <c r="B13" s="27" t="s">
        <v>711</v>
      </c>
      <c r="C13" s="28">
        <v>18499673.739999998</v>
      </c>
      <c r="D13" s="28">
        <v>3609526.86</v>
      </c>
      <c r="E13" s="28">
        <v>2780861.49</v>
      </c>
      <c r="F13" s="29">
        <v>3188705.33</v>
      </c>
      <c r="G13" t="str">
        <f t="shared" si="0"/>
        <v>0126</v>
      </c>
    </row>
    <row r="14" spans="1:7" x14ac:dyDescent="0.25">
      <c r="A14" s="26" t="s">
        <v>29</v>
      </c>
      <c r="B14" s="27" t="s">
        <v>712</v>
      </c>
      <c r="C14" s="28">
        <v>13832470.99</v>
      </c>
      <c r="D14" s="28">
        <v>2337320.42</v>
      </c>
      <c r="E14" s="28">
        <v>3823570.38</v>
      </c>
      <c r="F14" s="29">
        <v>4527766.87</v>
      </c>
      <c r="G14" t="str">
        <f t="shared" si="0"/>
        <v>0135</v>
      </c>
    </row>
    <row r="15" spans="1:7" x14ac:dyDescent="0.25">
      <c r="A15" s="26" t="s">
        <v>417</v>
      </c>
      <c r="B15" s="27" t="s">
        <v>713</v>
      </c>
      <c r="C15" s="28">
        <v>7995057.3799999999</v>
      </c>
      <c r="D15" s="28">
        <v>1457084.2</v>
      </c>
      <c r="E15" s="28">
        <v>1452561.53</v>
      </c>
      <c r="F15" s="29">
        <v>1633718.58</v>
      </c>
      <c r="G15" t="str">
        <f t="shared" si="0"/>
        <v>0153</v>
      </c>
    </row>
    <row r="16" spans="1:7" x14ac:dyDescent="0.25">
      <c r="A16" s="26" t="s">
        <v>31</v>
      </c>
      <c r="B16" s="27" t="s">
        <v>714</v>
      </c>
      <c r="C16" s="28">
        <v>10460370.34</v>
      </c>
      <c r="D16" s="28">
        <v>1249677.95</v>
      </c>
      <c r="E16" s="28">
        <v>1759033.5</v>
      </c>
      <c r="F16" s="29">
        <v>2300081.7000000002</v>
      </c>
      <c r="G16" t="str">
        <f t="shared" si="0"/>
        <v>0171</v>
      </c>
    </row>
    <row r="17" spans="1:7" x14ac:dyDescent="0.25">
      <c r="A17" s="26" t="s">
        <v>33</v>
      </c>
      <c r="B17" s="27" t="s">
        <v>715</v>
      </c>
      <c r="C17" s="28">
        <v>59047987.409999996</v>
      </c>
      <c r="D17" s="28">
        <v>9247773.7100000009</v>
      </c>
      <c r="E17" s="28">
        <v>10314889.279999999</v>
      </c>
      <c r="F17" s="29">
        <v>11942796.550000001</v>
      </c>
      <c r="G17" t="str">
        <f t="shared" si="0"/>
        <v>0225</v>
      </c>
    </row>
    <row r="18" spans="1:7" x14ac:dyDescent="0.25">
      <c r="A18" s="26" t="s">
        <v>35</v>
      </c>
      <c r="B18" s="27" t="s">
        <v>716</v>
      </c>
      <c r="C18" s="28">
        <v>14930001.279999999</v>
      </c>
      <c r="D18" s="28">
        <v>1872043.16</v>
      </c>
      <c r="E18" s="28">
        <v>3224743.83</v>
      </c>
      <c r="F18" s="29">
        <v>3876943.73</v>
      </c>
      <c r="G18" t="str">
        <f t="shared" si="0"/>
        <v>0234</v>
      </c>
    </row>
    <row r="19" spans="1:7" x14ac:dyDescent="0.25">
      <c r="A19" s="26" t="s">
        <v>38</v>
      </c>
      <c r="B19" s="27" t="s">
        <v>717</v>
      </c>
      <c r="C19" s="28">
        <v>3575239.78</v>
      </c>
      <c r="D19" s="28">
        <v>724936.84</v>
      </c>
      <c r="E19" s="28">
        <v>731533.83</v>
      </c>
      <c r="F19" s="29">
        <v>919589.72</v>
      </c>
      <c r="G19" t="str">
        <f t="shared" si="0"/>
        <v>0243</v>
      </c>
    </row>
    <row r="20" spans="1:7" x14ac:dyDescent="0.25">
      <c r="A20" s="26" t="s">
        <v>40</v>
      </c>
      <c r="B20" s="27" t="s">
        <v>718</v>
      </c>
      <c r="C20" s="28">
        <v>143698003.68000001</v>
      </c>
      <c r="D20" s="28">
        <v>9699557.0099999998</v>
      </c>
      <c r="E20" s="28">
        <v>17721958.25</v>
      </c>
      <c r="F20" s="29">
        <v>23532639.66</v>
      </c>
      <c r="G20" t="str">
        <f t="shared" si="0"/>
        <v>0261</v>
      </c>
    </row>
    <row r="21" spans="1:7" x14ac:dyDescent="0.25">
      <c r="A21" s="26" t="s">
        <v>42</v>
      </c>
      <c r="B21" s="27" t="s">
        <v>719</v>
      </c>
      <c r="C21" s="28">
        <v>9776769.3800000008</v>
      </c>
      <c r="D21" s="28">
        <v>1610372.1</v>
      </c>
      <c r="E21" s="28">
        <v>2154884</v>
      </c>
      <c r="F21" s="29">
        <v>2363644.36</v>
      </c>
      <c r="G21" t="str">
        <f t="shared" si="0"/>
        <v>0279</v>
      </c>
    </row>
    <row r="22" spans="1:7" x14ac:dyDescent="0.25">
      <c r="A22" s="26" t="s">
        <v>437</v>
      </c>
      <c r="B22" s="27" t="s">
        <v>720</v>
      </c>
      <c r="C22" s="28">
        <v>6308233.2800000003</v>
      </c>
      <c r="D22" s="28">
        <v>1618735.3</v>
      </c>
      <c r="E22" s="28">
        <v>1726856.07</v>
      </c>
      <c r="F22" s="29">
        <v>1878099.88</v>
      </c>
      <c r="G22" t="str">
        <f t="shared" si="0"/>
        <v>0333</v>
      </c>
    </row>
    <row r="23" spans="1:7" x14ac:dyDescent="0.25">
      <c r="A23" s="26" t="s">
        <v>44</v>
      </c>
      <c r="B23" s="27" t="s">
        <v>721</v>
      </c>
      <c r="C23" s="28">
        <v>3397660.74</v>
      </c>
      <c r="D23" s="28">
        <v>583026.75</v>
      </c>
      <c r="E23" s="28">
        <v>1564938.77</v>
      </c>
      <c r="F23" s="29">
        <v>1747457.16</v>
      </c>
      <c r="G23" t="str">
        <f t="shared" si="0"/>
        <v>0355</v>
      </c>
    </row>
    <row r="24" spans="1:7" x14ac:dyDescent="0.25">
      <c r="A24" s="26" t="s">
        <v>46</v>
      </c>
      <c r="B24" s="27" t="s">
        <v>722</v>
      </c>
      <c r="C24" s="28">
        <v>17148650.190000001</v>
      </c>
      <c r="D24" s="28">
        <v>2436919.6800000002</v>
      </c>
      <c r="E24" s="28">
        <v>3328656.07</v>
      </c>
      <c r="F24" s="29">
        <v>4190864.56</v>
      </c>
      <c r="G24" t="str">
        <f t="shared" si="0"/>
        <v>0387</v>
      </c>
    </row>
    <row r="25" spans="1:7" x14ac:dyDescent="0.25">
      <c r="A25" s="26" t="s">
        <v>48</v>
      </c>
      <c r="B25" s="27" t="s">
        <v>723</v>
      </c>
      <c r="C25" s="28">
        <v>7124529.1600000001</v>
      </c>
      <c r="D25" s="28">
        <v>1293713.3600000001</v>
      </c>
      <c r="E25" s="28">
        <v>1249513.23</v>
      </c>
      <c r="F25" s="29">
        <v>1584005.25</v>
      </c>
      <c r="G25" t="str">
        <f t="shared" si="0"/>
        <v>0414</v>
      </c>
    </row>
    <row r="26" spans="1:7" x14ac:dyDescent="0.25">
      <c r="A26" s="26" t="s">
        <v>9</v>
      </c>
      <c r="B26" s="27" t="s">
        <v>724</v>
      </c>
      <c r="C26" s="28">
        <v>9536412.7100000009</v>
      </c>
      <c r="D26" s="28">
        <v>1395479.13</v>
      </c>
      <c r="E26" s="28">
        <v>2743173.53</v>
      </c>
      <c r="F26" s="29">
        <v>2860616.38</v>
      </c>
      <c r="G26" t="str">
        <f t="shared" si="0"/>
        <v>0441</v>
      </c>
    </row>
    <row r="27" spans="1:7" x14ac:dyDescent="0.25">
      <c r="A27" s="26" t="s">
        <v>50</v>
      </c>
      <c r="B27" s="27" t="s">
        <v>725</v>
      </c>
      <c r="C27" s="28">
        <v>19520158.34</v>
      </c>
      <c r="D27" s="28">
        <v>2471530.88</v>
      </c>
      <c r="E27" s="28">
        <v>3148829.16</v>
      </c>
      <c r="F27" s="29">
        <v>3632343.17</v>
      </c>
      <c r="G27" t="str">
        <f t="shared" si="0"/>
        <v>0472</v>
      </c>
    </row>
    <row r="28" spans="1:7" x14ac:dyDescent="0.25">
      <c r="A28" s="26" t="s">
        <v>52</v>
      </c>
      <c r="B28" s="27" t="s">
        <v>726</v>
      </c>
      <c r="C28" s="28">
        <v>5436928.25</v>
      </c>
      <c r="D28" s="28">
        <v>1802036.79</v>
      </c>
      <c r="E28" s="28">
        <v>403870.39</v>
      </c>
      <c r="F28" s="29">
        <v>448736.59</v>
      </c>
      <c r="G28" t="str">
        <f t="shared" si="0"/>
        <v>0513</v>
      </c>
    </row>
    <row r="29" spans="1:7" x14ac:dyDescent="0.25">
      <c r="A29" s="26" t="s">
        <v>54</v>
      </c>
      <c r="B29" s="27" t="s">
        <v>727</v>
      </c>
      <c r="C29" s="28">
        <v>7130020.4000000004</v>
      </c>
      <c r="D29" s="28">
        <v>1571798.26</v>
      </c>
      <c r="E29" s="28">
        <v>2084181.58</v>
      </c>
      <c r="F29" s="29">
        <v>2342798.88</v>
      </c>
      <c r="G29" t="str">
        <f t="shared" si="0"/>
        <v>0540</v>
      </c>
    </row>
    <row r="30" spans="1:7" x14ac:dyDescent="0.25">
      <c r="A30" s="26" t="s">
        <v>56</v>
      </c>
      <c r="B30" s="27" t="s">
        <v>728</v>
      </c>
      <c r="C30" s="28">
        <v>6707143.7199999997</v>
      </c>
      <c r="D30" s="28">
        <v>1355452.47</v>
      </c>
      <c r="E30" s="28">
        <v>878557.84</v>
      </c>
      <c r="F30" s="29">
        <v>992987.85</v>
      </c>
      <c r="G30" t="str">
        <f t="shared" si="0"/>
        <v>0549</v>
      </c>
    </row>
    <row r="31" spans="1:7" x14ac:dyDescent="0.25">
      <c r="A31" s="26" t="s">
        <v>58</v>
      </c>
      <c r="B31" s="27" t="s">
        <v>729</v>
      </c>
      <c r="C31" s="28">
        <v>5918342.0700000003</v>
      </c>
      <c r="D31" s="28">
        <v>1164836.24</v>
      </c>
      <c r="E31" s="28">
        <v>2741873.53</v>
      </c>
      <c r="F31" s="29">
        <v>2873798.17</v>
      </c>
      <c r="G31" t="str">
        <f t="shared" si="0"/>
        <v>0576</v>
      </c>
    </row>
    <row r="32" spans="1:7" x14ac:dyDescent="0.25">
      <c r="A32" s="26" t="s">
        <v>60</v>
      </c>
      <c r="B32" s="27" t="s">
        <v>730</v>
      </c>
      <c r="C32" s="28">
        <v>7800173.6100000003</v>
      </c>
      <c r="D32" s="28">
        <v>1586712.82</v>
      </c>
      <c r="E32" s="28">
        <v>2248093.9900000002</v>
      </c>
      <c r="F32" s="29">
        <v>2708355.92</v>
      </c>
      <c r="G32" t="str">
        <f t="shared" si="0"/>
        <v>0585</v>
      </c>
    </row>
    <row r="33" spans="1:7" x14ac:dyDescent="0.25">
      <c r="A33" s="26" t="s">
        <v>62</v>
      </c>
      <c r="B33" s="27" t="s">
        <v>731</v>
      </c>
      <c r="C33" s="28">
        <v>10539849.23</v>
      </c>
      <c r="D33" s="28">
        <v>1777425.19</v>
      </c>
      <c r="E33" s="28">
        <v>1733325.53</v>
      </c>
      <c r="F33" s="29">
        <v>2049207.9</v>
      </c>
      <c r="G33" t="str">
        <f t="shared" si="0"/>
        <v>0594</v>
      </c>
    </row>
    <row r="34" spans="1:7" x14ac:dyDescent="0.25">
      <c r="A34" s="26" t="s">
        <v>64</v>
      </c>
      <c r="B34" s="27" t="s">
        <v>732</v>
      </c>
      <c r="C34" s="28">
        <v>2363108.4700000002</v>
      </c>
      <c r="D34" s="28">
        <v>318548.18</v>
      </c>
      <c r="E34" s="28">
        <v>779912.61</v>
      </c>
      <c r="F34" s="29">
        <v>1289705.33</v>
      </c>
      <c r="G34" t="str">
        <f t="shared" si="0"/>
        <v>0603</v>
      </c>
    </row>
    <row r="35" spans="1:7" x14ac:dyDescent="0.25">
      <c r="A35" s="26" t="s">
        <v>66</v>
      </c>
      <c r="B35" s="27" t="s">
        <v>733</v>
      </c>
      <c r="C35" s="28">
        <v>18124646.57</v>
      </c>
      <c r="D35" s="28">
        <v>2861712.48</v>
      </c>
      <c r="E35" s="28">
        <v>4349197.4400000004</v>
      </c>
      <c r="F35" s="29">
        <v>5252797.09</v>
      </c>
      <c r="G35" t="str">
        <f t="shared" si="0"/>
        <v>0609</v>
      </c>
    </row>
    <row r="36" spans="1:7" x14ac:dyDescent="0.25">
      <c r="A36" s="26" t="s">
        <v>68</v>
      </c>
      <c r="B36" s="27" t="s">
        <v>734</v>
      </c>
      <c r="C36" s="28">
        <v>52973351.109999999</v>
      </c>
      <c r="D36" s="28">
        <v>8741797.7699999996</v>
      </c>
      <c r="E36" s="28">
        <v>10887335.25</v>
      </c>
      <c r="F36" s="29">
        <v>12096073.789999999</v>
      </c>
      <c r="G36" t="str">
        <f t="shared" si="0"/>
        <v>0621</v>
      </c>
    </row>
    <row r="37" spans="1:7" x14ac:dyDescent="0.25">
      <c r="A37" s="26" t="s">
        <v>212</v>
      </c>
      <c r="B37" s="27" t="s">
        <v>735</v>
      </c>
      <c r="C37" s="28">
        <v>11735436.17</v>
      </c>
      <c r="D37" s="28">
        <v>3354013.99</v>
      </c>
      <c r="E37" s="28">
        <v>4408386.17</v>
      </c>
      <c r="F37" s="29">
        <v>5214468.4000000004</v>
      </c>
      <c r="G37" t="str">
        <f t="shared" si="0"/>
        <v>0657</v>
      </c>
    </row>
    <row r="38" spans="1:7" x14ac:dyDescent="0.25">
      <c r="A38" s="26" t="s">
        <v>70</v>
      </c>
      <c r="B38" s="27" t="s">
        <v>736</v>
      </c>
      <c r="C38" s="28">
        <v>25245314.239999998</v>
      </c>
      <c r="D38" s="28">
        <v>2961413.51</v>
      </c>
      <c r="E38" s="28">
        <v>5972122.6699999999</v>
      </c>
      <c r="F38" s="29">
        <v>6899709.4400000004</v>
      </c>
      <c r="G38" t="str">
        <f t="shared" si="0"/>
        <v>0720</v>
      </c>
    </row>
    <row r="39" spans="1:7" x14ac:dyDescent="0.25">
      <c r="A39" s="26" t="s">
        <v>72</v>
      </c>
      <c r="B39" s="27" t="s">
        <v>737</v>
      </c>
      <c r="C39" s="28">
        <v>26151359</v>
      </c>
      <c r="D39" s="28">
        <v>3451989.32</v>
      </c>
      <c r="E39" s="28">
        <v>5690146.6799999997</v>
      </c>
      <c r="F39" s="29">
        <v>6578788.2999999998</v>
      </c>
      <c r="G39" t="str">
        <f t="shared" si="0"/>
        <v>0729</v>
      </c>
    </row>
    <row r="40" spans="1:7" x14ac:dyDescent="0.25">
      <c r="A40" s="26" t="s">
        <v>74</v>
      </c>
      <c r="B40" s="27" t="s">
        <v>738</v>
      </c>
      <c r="C40" s="28">
        <v>7991155.04</v>
      </c>
      <c r="D40" s="28">
        <v>1241375.82</v>
      </c>
      <c r="E40" s="28">
        <v>654801.26</v>
      </c>
      <c r="F40" s="29">
        <v>1406596.22</v>
      </c>
      <c r="G40" t="str">
        <f t="shared" si="0"/>
        <v>0747</v>
      </c>
    </row>
    <row r="41" spans="1:7" x14ac:dyDescent="0.25">
      <c r="A41" s="26" t="s">
        <v>639</v>
      </c>
      <c r="B41" s="27" t="s">
        <v>739</v>
      </c>
      <c r="C41" s="28">
        <v>7118075.6299999999</v>
      </c>
      <c r="D41" s="28">
        <v>1236898.8899999999</v>
      </c>
      <c r="E41" s="28">
        <v>1302107.46</v>
      </c>
      <c r="F41" s="29">
        <v>1627829.69</v>
      </c>
      <c r="G41" t="str">
        <f t="shared" si="0"/>
        <v>0819</v>
      </c>
    </row>
    <row r="42" spans="1:7" x14ac:dyDescent="0.25">
      <c r="A42" s="26" t="s">
        <v>78</v>
      </c>
      <c r="B42" s="27" t="s">
        <v>740</v>
      </c>
      <c r="C42" s="28">
        <v>6718272.4299999997</v>
      </c>
      <c r="D42" s="28">
        <v>1107834.56</v>
      </c>
      <c r="E42" s="28">
        <v>1303167.1100000001</v>
      </c>
      <c r="F42" s="29">
        <v>2099116.3199999998</v>
      </c>
      <c r="G42" t="str">
        <f t="shared" si="0"/>
        <v>0846</v>
      </c>
    </row>
    <row r="43" spans="1:7" x14ac:dyDescent="0.25">
      <c r="A43" s="26" t="s">
        <v>423</v>
      </c>
      <c r="B43" s="27" t="s">
        <v>741</v>
      </c>
      <c r="C43" s="28">
        <v>6068724.0199999996</v>
      </c>
      <c r="D43" s="28">
        <v>1197904.54</v>
      </c>
      <c r="E43" s="28">
        <v>1876800.76</v>
      </c>
      <c r="F43" s="29">
        <v>2151471.9</v>
      </c>
      <c r="G43" t="str">
        <f t="shared" si="0"/>
        <v>0873</v>
      </c>
    </row>
    <row r="44" spans="1:7" x14ac:dyDescent="0.25">
      <c r="A44" s="26" t="s">
        <v>80</v>
      </c>
      <c r="B44" s="27" t="s">
        <v>742</v>
      </c>
      <c r="C44" s="28">
        <v>51243535.219999999</v>
      </c>
      <c r="D44" s="28">
        <v>7620863.5999999996</v>
      </c>
      <c r="E44" s="28">
        <v>12614017.880000001</v>
      </c>
      <c r="F44" s="29">
        <v>14133883.93</v>
      </c>
      <c r="G44" t="str">
        <f t="shared" si="0"/>
        <v>0882</v>
      </c>
    </row>
    <row r="45" spans="1:7" x14ac:dyDescent="0.25">
      <c r="A45" s="26" t="s">
        <v>86</v>
      </c>
      <c r="B45" s="27" t="s">
        <v>743</v>
      </c>
      <c r="C45" s="28">
        <v>12257994.93</v>
      </c>
      <c r="D45" s="28">
        <v>6884336.3499999996</v>
      </c>
      <c r="E45" s="28">
        <v>1837180.06</v>
      </c>
      <c r="F45" s="29">
        <v>2497978.54</v>
      </c>
      <c r="G45" t="str">
        <f t="shared" si="0"/>
        <v>0914</v>
      </c>
    </row>
    <row r="46" spans="1:7" x14ac:dyDescent="0.25">
      <c r="A46" s="26" t="s">
        <v>82</v>
      </c>
      <c r="B46" s="27" t="s">
        <v>744</v>
      </c>
      <c r="C46" s="28">
        <v>3468264.16</v>
      </c>
      <c r="D46" s="28">
        <v>450705.63</v>
      </c>
      <c r="E46" s="28">
        <v>545196.18000000005</v>
      </c>
      <c r="F46" s="29">
        <v>659245.5</v>
      </c>
      <c r="G46" t="str">
        <f t="shared" si="0"/>
        <v>0916</v>
      </c>
    </row>
    <row r="47" spans="1:7" x14ac:dyDescent="0.25">
      <c r="A47" s="26" t="s">
        <v>84</v>
      </c>
      <c r="B47" s="27" t="s">
        <v>745</v>
      </c>
      <c r="C47" s="28">
        <v>5864990.04</v>
      </c>
      <c r="D47" s="28">
        <v>1145673.33</v>
      </c>
      <c r="E47" s="28">
        <v>656783.85</v>
      </c>
      <c r="F47" s="29">
        <v>837955</v>
      </c>
      <c r="G47" t="str">
        <f t="shared" si="0"/>
        <v>0918</v>
      </c>
    </row>
    <row r="48" spans="1:7" x14ac:dyDescent="0.25">
      <c r="A48" s="26" t="s">
        <v>88</v>
      </c>
      <c r="B48" s="27" t="s">
        <v>746</v>
      </c>
      <c r="C48" s="28">
        <v>12014967.529999999</v>
      </c>
      <c r="D48" s="28">
        <v>2666108.62</v>
      </c>
      <c r="E48" s="28">
        <v>1179122.94</v>
      </c>
      <c r="F48" s="29">
        <v>1546459.79</v>
      </c>
      <c r="G48" t="str">
        <f t="shared" si="0"/>
        <v>0936</v>
      </c>
    </row>
    <row r="49" spans="1:7" x14ac:dyDescent="0.25">
      <c r="A49" s="26" t="s">
        <v>90</v>
      </c>
      <c r="B49" s="27" t="s">
        <v>747</v>
      </c>
      <c r="C49" s="28">
        <v>11053162.880000001</v>
      </c>
      <c r="D49" s="28">
        <v>4788376.26</v>
      </c>
      <c r="E49" s="28">
        <v>1867769.27</v>
      </c>
      <c r="F49" s="29">
        <v>2143986.54</v>
      </c>
      <c r="G49" t="str">
        <f t="shared" si="0"/>
        <v>0977</v>
      </c>
    </row>
    <row r="50" spans="1:7" x14ac:dyDescent="0.25">
      <c r="A50" s="26" t="s">
        <v>92</v>
      </c>
      <c r="B50" s="27" t="s">
        <v>748</v>
      </c>
      <c r="C50" s="28">
        <v>22234338.620000001</v>
      </c>
      <c r="D50" s="28">
        <v>3343515.91</v>
      </c>
      <c r="E50" s="28">
        <v>7433268.7000000002</v>
      </c>
      <c r="F50" s="29">
        <v>8973378.2100000009</v>
      </c>
      <c r="G50" t="str">
        <f t="shared" si="0"/>
        <v>0981</v>
      </c>
    </row>
    <row r="51" spans="1:7" x14ac:dyDescent="0.25">
      <c r="A51" s="26" t="s">
        <v>94</v>
      </c>
      <c r="B51" s="27" t="s">
        <v>749</v>
      </c>
      <c r="C51" s="28">
        <v>21367103.809999999</v>
      </c>
      <c r="D51" s="28">
        <v>2923080.71</v>
      </c>
      <c r="E51" s="28">
        <v>6841996.4900000002</v>
      </c>
      <c r="F51" s="29">
        <v>7831602.1799999997</v>
      </c>
      <c r="G51" t="str">
        <f t="shared" si="0"/>
        <v>0999</v>
      </c>
    </row>
    <row r="52" spans="1:7" x14ac:dyDescent="0.25">
      <c r="A52" s="26" t="s">
        <v>96</v>
      </c>
      <c r="B52" s="27" t="s">
        <v>750</v>
      </c>
      <c r="C52" s="28">
        <v>63963692.880000003</v>
      </c>
      <c r="D52" s="28">
        <v>7354436.5099999998</v>
      </c>
      <c r="E52" s="28">
        <v>5989891.7699999996</v>
      </c>
      <c r="F52" s="29">
        <v>6853978.0300000003</v>
      </c>
      <c r="G52" t="str">
        <f t="shared" si="0"/>
        <v>1044</v>
      </c>
    </row>
    <row r="53" spans="1:7" x14ac:dyDescent="0.25">
      <c r="A53" s="26" t="s">
        <v>98</v>
      </c>
      <c r="B53" s="27" t="s">
        <v>751</v>
      </c>
      <c r="C53" s="28">
        <v>222796385.00999999</v>
      </c>
      <c r="D53" s="28">
        <v>30421796.93</v>
      </c>
      <c r="E53" s="28">
        <v>30508802.530000001</v>
      </c>
      <c r="F53" s="29">
        <v>33565373.340000004</v>
      </c>
      <c r="G53" t="str">
        <f t="shared" si="0"/>
        <v>1053</v>
      </c>
    </row>
    <row r="54" spans="1:7" x14ac:dyDescent="0.25">
      <c r="A54" s="26" t="s">
        <v>100</v>
      </c>
      <c r="B54" s="27" t="s">
        <v>752</v>
      </c>
      <c r="C54" s="28">
        <v>15765611.75</v>
      </c>
      <c r="D54" s="28">
        <v>2749078.11</v>
      </c>
      <c r="E54" s="28">
        <v>5276913.3499999996</v>
      </c>
      <c r="F54" s="29">
        <v>5920483.79</v>
      </c>
      <c r="G54" t="str">
        <f t="shared" si="0"/>
        <v>1062</v>
      </c>
    </row>
    <row r="55" spans="1:7" x14ac:dyDescent="0.25">
      <c r="A55" s="26" t="s">
        <v>102</v>
      </c>
      <c r="B55" s="27" t="s">
        <v>753</v>
      </c>
      <c r="C55" s="28">
        <v>15660170.92</v>
      </c>
      <c r="D55" s="28">
        <v>1940686.42</v>
      </c>
      <c r="E55" s="28">
        <v>4290930.2699999996</v>
      </c>
      <c r="F55" s="29">
        <v>5081256.96</v>
      </c>
      <c r="G55" t="str">
        <f t="shared" si="0"/>
        <v>1071</v>
      </c>
    </row>
    <row r="56" spans="1:7" x14ac:dyDescent="0.25">
      <c r="A56" s="26" t="s">
        <v>112</v>
      </c>
      <c r="B56" s="27" t="s">
        <v>754</v>
      </c>
      <c r="C56" s="28">
        <v>11690832.82</v>
      </c>
      <c r="D56" s="28">
        <v>3966843.81</v>
      </c>
      <c r="E56" s="28">
        <v>2837236.94</v>
      </c>
      <c r="F56" s="29">
        <v>3383067.1</v>
      </c>
      <c r="G56" t="str">
        <f t="shared" si="0"/>
        <v>1079</v>
      </c>
    </row>
    <row r="57" spans="1:7" x14ac:dyDescent="0.25">
      <c r="A57" s="26" t="s">
        <v>106</v>
      </c>
      <c r="B57" s="27" t="s">
        <v>755</v>
      </c>
      <c r="C57" s="28">
        <v>5920035.46</v>
      </c>
      <c r="D57" s="28">
        <v>1103014.1100000001</v>
      </c>
      <c r="E57" s="28">
        <v>804330.36</v>
      </c>
      <c r="F57" s="29">
        <v>1109448.31</v>
      </c>
      <c r="G57" t="str">
        <f t="shared" si="0"/>
        <v>1080</v>
      </c>
    </row>
    <row r="58" spans="1:7" x14ac:dyDescent="0.25">
      <c r="A58" s="26" t="s">
        <v>108</v>
      </c>
      <c r="B58" s="27" t="s">
        <v>756</v>
      </c>
      <c r="C58" s="28">
        <v>18835907.420000002</v>
      </c>
      <c r="D58" s="28">
        <v>2809722.06</v>
      </c>
      <c r="E58" s="28">
        <v>2109485.9</v>
      </c>
      <c r="F58" s="29">
        <v>2334278.98</v>
      </c>
      <c r="G58" t="str">
        <f t="shared" si="0"/>
        <v>1082</v>
      </c>
    </row>
    <row r="59" spans="1:7" x14ac:dyDescent="0.25">
      <c r="A59" s="26" t="s">
        <v>104</v>
      </c>
      <c r="B59" s="27" t="s">
        <v>757</v>
      </c>
      <c r="C59" s="28">
        <v>5733888.9100000001</v>
      </c>
      <c r="D59" s="28">
        <v>1078997.81</v>
      </c>
      <c r="E59" s="28">
        <v>1459210.7</v>
      </c>
      <c r="F59" s="29">
        <v>2388977.0299999998</v>
      </c>
      <c r="G59" t="str">
        <f t="shared" si="0"/>
        <v>1089</v>
      </c>
    </row>
    <row r="60" spans="1:7" x14ac:dyDescent="0.25">
      <c r="A60" s="26" t="s">
        <v>110</v>
      </c>
      <c r="B60" s="27" t="s">
        <v>758</v>
      </c>
      <c r="C60" s="28">
        <v>8641613.0899999999</v>
      </c>
      <c r="D60" s="28">
        <v>2080143.85</v>
      </c>
      <c r="E60" s="28">
        <v>2406730.6</v>
      </c>
      <c r="F60" s="29">
        <v>2870848.18</v>
      </c>
      <c r="G60" t="str">
        <f t="shared" si="0"/>
        <v>1093</v>
      </c>
    </row>
    <row r="61" spans="1:7" x14ac:dyDescent="0.25">
      <c r="A61" s="26" t="s">
        <v>114</v>
      </c>
      <c r="B61" s="27" t="s">
        <v>759</v>
      </c>
      <c r="C61" s="28">
        <v>9510598.5099999998</v>
      </c>
      <c r="D61" s="28">
        <v>1525097.04</v>
      </c>
      <c r="E61" s="28">
        <v>1762669.17</v>
      </c>
      <c r="F61" s="29">
        <v>1993782.72</v>
      </c>
      <c r="G61" t="str">
        <f t="shared" si="0"/>
        <v>1095</v>
      </c>
    </row>
    <row r="62" spans="1:7" x14ac:dyDescent="0.25">
      <c r="A62" s="26" t="s">
        <v>118</v>
      </c>
      <c r="B62" s="27" t="s">
        <v>760</v>
      </c>
      <c r="C62" s="28">
        <v>14934365.210000001</v>
      </c>
      <c r="D62" s="28">
        <v>1799718.69</v>
      </c>
      <c r="E62" s="28">
        <v>2308225.02</v>
      </c>
      <c r="F62" s="29">
        <v>2869237.03</v>
      </c>
      <c r="G62" t="str">
        <f t="shared" si="0"/>
        <v>1107</v>
      </c>
    </row>
    <row r="63" spans="1:7" x14ac:dyDescent="0.25">
      <c r="A63" s="26" t="s">
        <v>120</v>
      </c>
      <c r="B63" s="27" t="s">
        <v>761</v>
      </c>
      <c r="C63" s="28">
        <v>20016553.300000001</v>
      </c>
      <c r="D63" s="28">
        <v>3006358.91</v>
      </c>
      <c r="E63" s="28">
        <v>1964944.27</v>
      </c>
      <c r="F63" s="29">
        <v>2626330.98</v>
      </c>
      <c r="G63" t="str">
        <f t="shared" si="0"/>
        <v>1116</v>
      </c>
    </row>
    <row r="64" spans="1:7" x14ac:dyDescent="0.25">
      <c r="A64" s="26" t="s">
        <v>122</v>
      </c>
      <c r="B64" s="27" t="s">
        <v>762</v>
      </c>
      <c r="C64" s="28">
        <v>3483192.18</v>
      </c>
      <c r="D64" s="28">
        <v>655558.69999999995</v>
      </c>
      <c r="E64" s="28">
        <v>1248815.45</v>
      </c>
      <c r="F64" s="29">
        <v>1322956.02</v>
      </c>
      <c r="G64" t="str">
        <f t="shared" si="0"/>
        <v>1134</v>
      </c>
    </row>
    <row r="65" spans="1:7" x14ac:dyDescent="0.25">
      <c r="A65" s="26" t="s">
        <v>124</v>
      </c>
      <c r="B65" s="27" t="s">
        <v>763</v>
      </c>
      <c r="C65" s="28">
        <v>12210533.640000001</v>
      </c>
      <c r="D65" s="28">
        <v>1728713.26</v>
      </c>
      <c r="E65" s="28">
        <v>2826475.71</v>
      </c>
      <c r="F65" s="29">
        <v>3058475.66</v>
      </c>
      <c r="G65" t="str">
        <f t="shared" si="0"/>
        <v>1152</v>
      </c>
    </row>
    <row r="66" spans="1:7" x14ac:dyDescent="0.25">
      <c r="A66" s="26" t="s">
        <v>126</v>
      </c>
      <c r="B66" s="27" t="s">
        <v>764</v>
      </c>
      <c r="C66" s="28">
        <v>12227451.119999999</v>
      </c>
      <c r="D66" s="28">
        <v>2193566.09</v>
      </c>
      <c r="E66" s="28">
        <v>2263620.09</v>
      </c>
      <c r="F66" s="29">
        <v>2585538.2799999998</v>
      </c>
      <c r="G66" t="str">
        <f t="shared" si="0"/>
        <v>1197</v>
      </c>
    </row>
    <row r="67" spans="1:7" x14ac:dyDescent="0.25">
      <c r="A67" s="26" t="s">
        <v>128</v>
      </c>
      <c r="B67" s="27" t="s">
        <v>765</v>
      </c>
      <c r="C67" s="28">
        <v>13073090.41</v>
      </c>
      <c r="D67" s="28">
        <v>2224461.79</v>
      </c>
      <c r="E67" s="28">
        <v>1261509.1100000001</v>
      </c>
      <c r="F67" s="29">
        <v>2138606.3199999998</v>
      </c>
      <c r="G67" t="str">
        <f t="shared" si="0"/>
        <v>1206</v>
      </c>
    </row>
    <row r="68" spans="1:7" x14ac:dyDescent="0.25">
      <c r="A68" s="26" t="s">
        <v>131</v>
      </c>
      <c r="B68" s="27" t="s">
        <v>766</v>
      </c>
      <c r="C68" s="28">
        <v>17300673.73</v>
      </c>
      <c r="D68" s="28">
        <v>1826842.7</v>
      </c>
      <c r="E68" s="28">
        <v>73339.009999999995</v>
      </c>
      <c r="F68" s="29">
        <v>1053880.72</v>
      </c>
      <c r="G68" t="str">
        <f t="shared" si="0"/>
        <v>1211</v>
      </c>
    </row>
    <row r="69" spans="1:7" x14ac:dyDescent="0.25">
      <c r="A69" s="26" t="s">
        <v>133</v>
      </c>
      <c r="B69" s="27" t="s">
        <v>767</v>
      </c>
      <c r="C69" s="28">
        <v>4029477.41</v>
      </c>
      <c r="D69" s="28">
        <v>464662.75</v>
      </c>
      <c r="E69" s="28">
        <v>900424.64</v>
      </c>
      <c r="F69" s="29">
        <v>947023.52</v>
      </c>
      <c r="G69" t="str">
        <f t="shared" si="0"/>
        <v>1215</v>
      </c>
    </row>
    <row r="70" spans="1:7" x14ac:dyDescent="0.25">
      <c r="A70" s="26" t="s">
        <v>135</v>
      </c>
      <c r="B70" s="27" t="s">
        <v>768</v>
      </c>
      <c r="C70" s="28">
        <v>3770650.71</v>
      </c>
      <c r="D70" s="28">
        <v>335329.15000000002</v>
      </c>
      <c r="E70" s="28">
        <v>1121409.56</v>
      </c>
      <c r="F70" s="29">
        <v>1439141.76</v>
      </c>
      <c r="G70" t="str">
        <f t="shared" ref="G70:G133" si="1">TEXT(A70,"0000")</f>
        <v>1218</v>
      </c>
    </row>
    <row r="71" spans="1:7" x14ac:dyDescent="0.25">
      <c r="A71" s="26" t="s">
        <v>139</v>
      </c>
      <c r="B71" s="27" t="s">
        <v>769</v>
      </c>
      <c r="C71" s="28">
        <v>35037852.939999998</v>
      </c>
      <c r="D71" s="28">
        <v>4270807.76</v>
      </c>
      <c r="E71" s="30">
        <v>-1715371.24</v>
      </c>
      <c r="F71" s="31">
        <v>-1270176.79</v>
      </c>
      <c r="G71" t="str">
        <f t="shared" si="1"/>
        <v>1221</v>
      </c>
    </row>
    <row r="72" spans="1:7" x14ac:dyDescent="0.25">
      <c r="A72" s="26" t="s">
        <v>142</v>
      </c>
      <c r="B72" s="27" t="s">
        <v>770</v>
      </c>
      <c r="C72" s="28">
        <v>16300231.17</v>
      </c>
      <c r="D72" s="28">
        <v>3550639.41</v>
      </c>
      <c r="E72" s="28">
        <v>4544426.53</v>
      </c>
      <c r="F72" s="29">
        <v>4952019.47</v>
      </c>
      <c r="G72" t="str">
        <f t="shared" si="1"/>
        <v>1233</v>
      </c>
    </row>
    <row r="73" spans="1:7" x14ac:dyDescent="0.25">
      <c r="A73" s="26" t="s">
        <v>144</v>
      </c>
      <c r="B73" s="27" t="s">
        <v>771</v>
      </c>
      <c r="C73" s="28">
        <v>46649973.829999998</v>
      </c>
      <c r="D73" s="28">
        <v>6411812.5300000003</v>
      </c>
      <c r="E73" s="28">
        <v>11948249.939999999</v>
      </c>
      <c r="F73" s="29">
        <v>12625456.52</v>
      </c>
      <c r="G73" t="str">
        <f t="shared" si="1"/>
        <v>1278</v>
      </c>
    </row>
    <row r="74" spans="1:7" x14ac:dyDescent="0.25">
      <c r="A74" s="26" t="s">
        <v>146</v>
      </c>
      <c r="B74" s="27" t="s">
        <v>772</v>
      </c>
      <c r="C74" s="28">
        <v>9519010.8699999992</v>
      </c>
      <c r="D74" s="28">
        <v>1163771.82</v>
      </c>
      <c r="E74" s="28">
        <v>1567880.61</v>
      </c>
      <c r="F74" s="29">
        <v>2085371.83</v>
      </c>
      <c r="G74" t="str">
        <f t="shared" si="1"/>
        <v>1332</v>
      </c>
    </row>
    <row r="75" spans="1:7" x14ac:dyDescent="0.25">
      <c r="A75" s="26" t="s">
        <v>148</v>
      </c>
      <c r="B75" s="27" t="s">
        <v>773</v>
      </c>
      <c r="C75" s="28">
        <v>65808250.149999999</v>
      </c>
      <c r="D75" s="28">
        <v>10589286.27</v>
      </c>
      <c r="E75" s="28">
        <v>13490981.23</v>
      </c>
      <c r="F75" s="29">
        <v>13929171.869999999</v>
      </c>
      <c r="G75" t="str">
        <f t="shared" si="1"/>
        <v>1337</v>
      </c>
    </row>
    <row r="76" spans="1:7" x14ac:dyDescent="0.25">
      <c r="A76" s="26" t="s">
        <v>150</v>
      </c>
      <c r="B76" s="27" t="s">
        <v>774</v>
      </c>
      <c r="C76" s="28">
        <v>5663797.0099999998</v>
      </c>
      <c r="D76" s="28">
        <v>489688.27</v>
      </c>
      <c r="E76" s="28">
        <v>15498.44</v>
      </c>
      <c r="F76" s="29">
        <v>309581.78000000003</v>
      </c>
      <c r="G76" t="str">
        <f t="shared" si="1"/>
        <v>1350</v>
      </c>
    </row>
    <row r="77" spans="1:7" x14ac:dyDescent="0.25">
      <c r="A77" s="26" t="s">
        <v>152</v>
      </c>
      <c r="B77" s="27" t="s">
        <v>775</v>
      </c>
      <c r="C77" s="28">
        <v>6415334.5</v>
      </c>
      <c r="D77" s="28">
        <v>784279.76</v>
      </c>
      <c r="E77" s="28">
        <v>531961.76</v>
      </c>
      <c r="F77" s="29">
        <v>729636.33</v>
      </c>
      <c r="G77" t="str">
        <f t="shared" si="1"/>
        <v>1359</v>
      </c>
    </row>
    <row r="78" spans="1:7" x14ac:dyDescent="0.25">
      <c r="A78" s="26" t="s">
        <v>154</v>
      </c>
      <c r="B78" s="27" t="s">
        <v>776</v>
      </c>
      <c r="C78" s="28">
        <v>9373785</v>
      </c>
      <c r="D78" s="28">
        <v>1392674.78</v>
      </c>
      <c r="E78" s="28">
        <v>4106006.61</v>
      </c>
      <c r="F78" s="29">
        <v>4609942.1900000004</v>
      </c>
      <c r="G78" t="str">
        <f t="shared" si="1"/>
        <v>1368</v>
      </c>
    </row>
    <row r="79" spans="1:7" x14ac:dyDescent="0.25">
      <c r="A79" s="26" t="s">
        <v>156</v>
      </c>
      <c r="B79" s="27" t="s">
        <v>777</v>
      </c>
      <c r="C79" s="28">
        <v>5626858.8300000001</v>
      </c>
      <c r="D79" s="28">
        <v>951150.85</v>
      </c>
      <c r="E79" s="28">
        <v>1896456.15</v>
      </c>
      <c r="F79" s="29">
        <v>2261237.59</v>
      </c>
      <c r="G79" t="str">
        <f t="shared" si="1"/>
        <v>1413</v>
      </c>
    </row>
    <row r="80" spans="1:7" x14ac:dyDescent="0.25">
      <c r="A80" s="26" t="s">
        <v>158</v>
      </c>
      <c r="B80" s="27" t="s">
        <v>778</v>
      </c>
      <c r="C80" s="28">
        <v>6929994.7199999997</v>
      </c>
      <c r="D80" s="28">
        <v>2129879.69</v>
      </c>
      <c r="E80" s="28">
        <v>1727761.3</v>
      </c>
      <c r="F80" s="29">
        <v>1772130.6</v>
      </c>
      <c r="G80" t="str">
        <f t="shared" si="1"/>
        <v>1431</v>
      </c>
    </row>
    <row r="81" spans="1:7" x14ac:dyDescent="0.25">
      <c r="A81" s="26" t="s">
        <v>160</v>
      </c>
      <c r="B81" s="27" t="s">
        <v>779</v>
      </c>
      <c r="C81" s="28">
        <v>125256442.27</v>
      </c>
      <c r="D81" s="28">
        <v>19417233.710000001</v>
      </c>
      <c r="E81" s="28">
        <v>14917522.619999999</v>
      </c>
      <c r="F81" s="29">
        <v>16628438.32</v>
      </c>
      <c r="G81" t="str">
        <f t="shared" si="1"/>
        <v>1476</v>
      </c>
    </row>
    <row r="82" spans="1:7" x14ac:dyDescent="0.25">
      <c r="A82" s="26" t="s">
        <v>162</v>
      </c>
      <c r="B82" s="27" t="s">
        <v>780</v>
      </c>
      <c r="C82" s="28">
        <v>19759140.539999999</v>
      </c>
      <c r="D82" s="28">
        <v>3648650.7</v>
      </c>
      <c r="E82" s="28">
        <v>2138961.9300000002</v>
      </c>
      <c r="F82" s="29">
        <v>2643749.5099999998</v>
      </c>
      <c r="G82" t="str">
        <f t="shared" si="1"/>
        <v>1503</v>
      </c>
    </row>
    <row r="83" spans="1:7" x14ac:dyDescent="0.25">
      <c r="A83" s="26" t="s">
        <v>165</v>
      </c>
      <c r="B83" s="27" t="s">
        <v>781</v>
      </c>
      <c r="C83" s="28">
        <v>37523345.310000002</v>
      </c>
      <c r="D83" s="28">
        <v>4974547.13</v>
      </c>
      <c r="E83" s="28">
        <v>4445512.92</v>
      </c>
      <c r="F83" s="29">
        <v>6294458.0599999996</v>
      </c>
      <c r="G83" t="str">
        <f t="shared" si="1"/>
        <v>1576</v>
      </c>
    </row>
    <row r="84" spans="1:7" x14ac:dyDescent="0.25">
      <c r="A84" s="26" t="s">
        <v>167</v>
      </c>
      <c r="B84" s="27" t="s">
        <v>782</v>
      </c>
      <c r="C84" s="28">
        <v>7427029.4699999997</v>
      </c>
      <c r="D84" s="28">
        <v>2423098.4</v>
      </c>
      <c r="E84" s="28">
        <v>1800099.52</v>
      </c>
      <c r="F84" s="29">
        <v>2413328.39</v>
      </c>
      <c r="G84" t="str">
        <f t="shared" si="1"/>
        <v>1602</v>
      </c>
    </row>
    <row r="85" spans="1:7" x14ac:dyDescent="0.25">
      <c r="A85" s="26" t="s">
        <v>169</v>
      </c>
      <c r="B85" s="27" t="s">
        <v>783</v>
      </c>
      <c r="C85" s="28">
        <v>192190720.19</v>
      </c>
      <c r="D85" s="28">
        <v>21467607.699999999</v>
      </c>
      <c r="E85" s="28">
        <v>22901178.469999999</v>
      </c>
      <c r="F85" s="29">
        <v>29088196.780000001</v>
      </c>
      <c r="G85" t="str">
        <f t="shared" si="1"/>
        <v>1611</v>
      </c>
    </row>
    <row r="86" spans="1:7" x14ac:dyDescent="0.25">
      <c r="A86" s="26" t="s">
        <v>171</v>
      </c>
      <c r="B86" s="27" t="s">
        <v>784</v>
      </c>
      <c r="C86" s="28">
        <v>15530738.369999999</v>
      </c>
      <c r="D86" s="28">
        <v>4216304.0999999996</v>
      </c>
      <c r="E86" s="28">
        <v>3816822.23</v>
      </c>
      <c r="F86" s="29">
        <v>4407037.45</v>
      </c>
      <c r="G86" t="str">
        <f t="shared" si="1"/>
        <v>1619</v>
      </c>
    </row>
    <row r="87" spans="1:7" x14ac:dyDescent="0.25">
      <c r="A87" s="26" t="s">
        <v>173</v>
      </c>
      <c r="B87" s="27" t="s">
        <v>785</v>
      </c>
      <c r="C87" s="28">
        <v>21322467.640000001</v>
      </c>
      <c r="D87" s="28">
        <v>3840200.05</v>
      </c>
      <c r="E87" s="28">
        <v>4051200</v>
      </c>
      <c r="F87" s="29">
        <v>4508966.8600000003</v>
      </c>
      <c r="G87" t="str">
        <f t="shared" si="1"/>
        <v>1638</v>
      </c>
    </row>
    <row r="88" spans="1:7" x14ac:dyDescent="0.25">
      <c r="A88" s="26" t="s">
        <v>175</v>
      </c>
      <c r="B88" s="27" t="s">
        <v>786</v>
      </c>
      <c r="C88" s="28">
        <v>3261757.31</v>
      </c>
      <c r="D88" s="28">
        <v>809934.2</v>
      </c>
      <c r="E88" s="28">
        <v>846939.13</v>
      </c>
      <c r="F88" s="29">
        <v>945436.15</v>
      </c>
      <c r="G88" t="str">
        <f t="shared" si="1"/>
        <v>1675</v>
      </c>
    </row>
    <row r="89" spans="1:7" x14ac:dyDescent="0.25">
      <c r="A89" s="26" t="s">
        <v>177</v>
      </c>
      <c r="B89" s="27" t="s">
        <v>787</v>
      </c>
      <c r="C89" s="28">
        <v>26689380.98</v>
      </c>
      <c r="D89" s="28">
        <v>5250516</v>
      </c>
      <c r="E89" s="28">
        <v>9247937.5800000001</v>
      </c>
      <c r="F89" s="29">
        <v>10110762.65</v>
      </c>
      <c r="G89" t="str">
        <f t="shared" si="1"/>
        <v>1701</v>
      </c>
    </row>
    <row r="90" spans="1:7" x14ac:dyDescent="0.25">
      <c r="A90" s="26" t="s">
        <v>179</v>
      </c>
      <c r="B90" s="27" t="s">
        <v>788</v>
      </c>
      <c r="C90" s="28">
        <v>9982756.2899999991</v>
      </c>
      <c r="D90" s="28">
        <v>1240854.6100000001</v>
      </c>
      <c r="E90" s="28">
        <v>1055284.03</v>
      </c>
      <c r="F90" s="29">
        <v>1726726.33</v>
      </c>
      <c r="G90" t="str">
        <f t="shared" si="1"/>
        <v>1719</v>
      </c>
    </row>
    <row r="91" spans="1:7" x14ac:dyDescent="0.25">
      <c r="A91" s="26" t="s">
        <v>181</v>
      </c>
      <c r="B91" s="27" t="s">
        <v>789</v>
      </c>
      <c r="C91" s="28">
        <v>451695723.43000001</v>
      </c>
      <c r="D91" s="28">
        <v>119241064.18000001</v>
      </c>
      <c r="E91" s="28">
        <v>157981833.63</v>
      </c>
      <c r="F91" s="29">
        <v>184265143.83000001</v>
      </c>
      <c r="G91" t="str">
        <f t="shared" si="1"/>
        <v>1737</v>
      </c>
    </row>
    <row r="92" spans="1:7" x14ac:dyDescent="0.25">
      <c r="A92" s="26" t="s">
        <v>183</v>
      </c>
      <c r="B92" s="27" t="s">
        <v>790</v>
      </c>
      <c r="C92" s="28">
        <v>2019877.76</v>
      </c>
      <c r="D92" s="28">
        <v>651288.35</v>
      </c>
      <c r="E92" s="28">
        <v>240836.59</v>
      </c>
      <c r="F92" s="29">
        <v>295227.64</v>
      </c>
      <c r="G92" t="str">
        <f t="shared" si="1"/>
        <v>1782</v>
      </c>
    </row>
    <row r="93" spans="1:7" x14ac:dyDescent="0.25">
      <c r="A93" s="26" t="s">
        <v>185</v>
      </c>
      <c r="B93" s="27" t="s">
        <v>791</v>
      </c>
      <c r="C93" s="28">
        <v>10998317.119999999</v>
      </c>
      <c r="D93" s="28">
        <v>1423213.49</v>
      </c>
      <c r="E93" s="28">
        <v>1685753.82</v>
      </c>
      <c r="F93" s="29">
        <v>1967099.22</v>
      </c>
      <c r="G93" t="str">
        <f t="shared" si="1"/>
        <v>1791</v>
      </c>
    </row>
    <row r="94" spans="1:7" x14ac:dyDescent="0.25">
      <c r="A94" s="26" t="s">
        <v>187</v>
      </c>
      <c r="B94" s="27" t="s">
        <v>792</v>
      </c>
      <c r="C94" s="28">
        <v>138393761.97999999</v>
      </c>
      <c r="D94" s="28">
        <v>18896298.52</v>
      </c>
      <c r="E94" s="28">
        <v>23065023.350000001</v>
      </c>
      <c r="F94" s="29">
        <v>24931146.129999999</v>
      </c>
      <c r="G94" t="str">
        <f t="shared" si="1"/>
        <v>1863</v>
      </c>
    </row>
    <row r="95" spans="1:7" x14ac:dyDescent="0.25">
      <c r="A95" s="26" t="s">
        <v>189</v>
      </c>
      <c r="B95" s="27" t="s">
        <v>793</v>
      </c>
      <c r="C95" s="28">
        <v>5296837.75</v>
      </c>
      <c r="D95" s="28">
        <v>918427.34</v>
      </c>
      <c r="E95" s="28">
        <v>1210460.5900000001</v>
      </c>
      <c r="F95" s="29">
        <v>1368891.78</v>
      </c>
      <c r="G95" t="str">
        <f t="shared" si="1"/>
        <v>1908</v>
      </c>
    </row>
    <row r="96" spans="1:7" x14ac:dyDescent="0.25">
      <c r="A96" s="26" t="s">
        <v>76</v>
      </c>
      <c r="B96" s="27" t="s">
        <v>794</v>
      </c>
      <c r="C96" s="28">
        <v>5245843.82</v>
      </c>
      <c r="D96" s="28">
        <v>885772.55</v>
      </c>
      <c r="E96" s="28">
        <v>1930607.26</v>
      </c>
      <c r="F96" s="29">
        <v>2182417.52</v>
      </c>
      <c r="G96" t="str">
        <f t="shared" si="1"/>
        <v>1917</v>
      </c>
    </row>
    <row r="97" spans="1:7" x14ac:dyDescent="0.25">
      <c r="A97" s="26" t="s">
        <v>191</v>
      </c>
      <c r="B97" s="27" t="s">
        <v>795</v>
      </c>
      <c r="C97" s="28">
        <v>7831767.5599999996</v>
      </c>
      <c r="D97" s="28">
        <v>1712384.19</v>
      </c>
      <c r="E97" s="28">
        <v>1679723.54</v>
      </c>
      <c r="F97" s="29">
        <v>1825685.95</v>
      </c>
      <c r="G97" t="str">
        <f t="shared" si="1"/>
        <v>1926</v>
      </c>
    </row>
    <row r="98" spans="1:7" x14ac:dyDescent="0.25">
      <c r="A98" s="26" t="s">
        <v>193</v>
      </c>
      <c r="B98" s="27" t="s">
        <v>796</v>
      </c>
      <c r="C98" s="28">
        <v>12005666.57</v>
      </c>
      <c r="D98" s="28">
        <v>2654687.5</v>
      </c>
      <c r="E98" s="28">
        <v>3658777.23</v>
      </c>
      <c r="F98" s="29">
        <v>4208840.12</v>
      </c>
      <c r="G98" t="str">
        <f t="shared" si="1"/>
        <v>1944</v>
      </c>
    </row>
    <row r="99" spans="1:7" x14ac:dyDescent="0.25">
      <c r="A99" s="26" t="s">
        <v>195</v>
      </c>
      <c r="B99" s="27" t="s">
        <v>797</v>
      </c>
      <c r="C99" s="28">
        <v>7208274.9400000004</v>
      </c>
      <c r="D99" s="28">
        <v>1251678.8899999999</v>
      </c>
      <c r="E99" s="28">
        <v>1936682.29</v>
      </c>
      <c r="F99" s="29">
        <v>2066707.54</v>
      </c>
      <c r="G99" t="str">
        <f t="shared" si="1"/>
        <v>1953</v>
      </c>
    </row>
    <row r="100" spans="1:7" x14ac:dyDescent="0.25">
      <c r="A100" s="26" t="s">
        <v>197</v>
      </c>
      <c r="B100" s="27" t="s">
        <v>798</v>
      </c>
      <c r="C100" s="28">
        <v>7380820.5</v>
      </c>
      <c r="D100" s="28">
        <v>1307610.04</v>
      </c>
      <c r="E100" s="28">
        <v>1819758.8</v>
      </c>
      <c r="F100" s="29">
        <v>2126403.2999999998</v>
      </c>
      <c r="G100" t="str">
        <f t="shared" si="1"/>
        <v>1963</v>
      </c>
    </row>
    <row r="101" spans="1:7" x14ac:dyDescent="0.25">
      <c r="A101" s="26" t="s">
        <v>210</v>
      </c>
      <c r="B101" s="27" t="s">
        <v>799</v>
      </c>
      <c r="C101" s="28">
        <v>7618598.7199999997</v>
      </c>
      <c r="D101" s="28">
        <v>1129585.99</v>
      </c>
      <c r="E101" s="28">
        <v>1456033.58</v>
      </c>
      <c r="F101" s="29">
        <v>1823923.17</v>
      </c>
      <c r="G101" t="str">
        <f t="shared" si="1"/>
        <v>1965</v>
      </c>
    </row>
    <row r="102" spans="1:7" x14ac:dyDescent="0.25">
      <c r="A102" s="26" t="s">
        <v>200</v>
      </c>
      <c r="B102" s="27" t="s">
        <v>800</v>
      </c>
      <c r="C102" s="28">
        <v>8532946.4900000002</v>
      </c>
      <c r="D102" s="28">
        <v>2879205.2</v>
      </c>
      <c r="E102" s="28">
        <v>3007584.99</v>
      </c>
      <c r="F102" s="29">
        <v>3729089.03</v>
      </c>
      <c r="G102" t="str">
        <f t="shared" si="1"/>
        <v>1968</v>
      </c>
    </row>
    <row r="103" spans="1:7" x14ac:dyDescent="0.25">
      <c r="A103" s="26" t="s">
        <v>206</v>
      </c>
      <c r="B103" s="27" t="s">
        <v>801</v>
      </c>
      <c r="C103" s="28">
        <v>7212334.5</v>
      </c>
      <c r="D103" s="28">
        <v>1736030.36</v>
      </c>
      <c r="E103" s="28">
        <v>1663642.75</v>
      </c>
      <c r="F103" s="29">
        <v>1692617.87</v>
      </c>
      <c r="G103" t="str">
        <f t="shared" si="1"/>
        <v>1970</v>
      </c>
    </row>
    <row r="104" spans="1:7" x14ac:dyDescent="0.25">
      <c r="A104" s="26" t="s">
        <v>208</v>
      </c>
      <c r="B104" s="27" t="s">
        <v>802</v>
      </c>
      <c r="C104" s="28">
        <v>4317383.1100000003</v>
      </c>
      <c r="D104" s="28">
        <v>792585.83</v>
      </c>
      <c r="E104" s="28">
        <v>770080.47</v>
      </c>
      <c r="F104" s="29">
        <v>1063761.23</v>
      </c>
      <c r="G104" t="str">
        <f t="shared" si="1"/>
        <v>1972</v>
      </c>
    </row>
    <row r="105" spans="1:7" x14ac:dyDescent="0.25">
      <c r="A105" s="26" t="s">
        <v>494</v>
      </c>
      <c r="B105" s="27" t="s">
        <v>803</v>
      </c>
      <c r="C105" s="28">
        <v>5120509.08</v>
      </c>
      <c r="D105" s="28">
        <v>908531.05</v>
      </c>
      <c r="E105" s="28">
        <v>1553768.84</v>
      </c>
      <c r="F105" s="29">
        <v>1918112.54</v>
      </c>
      <c r="G105" t="str">
        <f t="shared" si="1"/>
        <v>1975</v>
      </c>
    </row>
    <row r="106" spans="1:7" x14ac:dyDescent="0.25">
      <c r="A106" s="26" t="s">
        <v>214</v>
      </c>
      <c r="B106" s="27" t="s">
        <v>804</v>
      </c>
      <c r="C106" s="28">
        <v>6232635.6200000001</v>
      </c>
      <c r="D106" s="28">
        <v>2080310.59</v>
      </c>
      <c r="E106" s="28">
        <v>2264293.5699999998</v>
      </c>
      <c r="F106" s="29">
        <v>2453019.12</v>
      </c>
      <c r="G106" t="str">
        <f t="shared" si="1"/>
        <v>1989</v>
      </c>
    </row>
    <row r="107" spans="1:7" x14ac:dyDescent="0.25">
      <c r="A107" s="26" t="s">
        <v>216</v>
      </c>
      <c r="B107" s="27" t="s">
        <v>805</v>
      </c>
      <c r="C107" s="28">
        <v>8832681.5199999996</v>
      </c>
      <c r="D107" s="28">
        <v>2051919.6</v>
      </c>
      <c r="E107" s="28">
        <v>2553726.21</v>
      </c>
      <c r="F107" s="29">
        <v>3065267</v>
      </c>
      <c r="G107" t="str">
        <f t="shared" si="1"/>
        <v>2007</v>
      </c>
    </row>
    <row r="108" spans="1:7" x14ac:dyDescent="0.25">
      <c r="A108" s="26" t="s">
        <v>218</v>
      </c>
      <c r="B108" s="27" t="s">
        <v>806</v>
      </c>
      <c r="C108" s="28">
        <v>9039299.9199999999</v>
      </c>
      <c r="D108" s="28">
        <v>1864883.59</v>
      </c>
      <c r="E108" s="28">
        <v>2247452.4700000002</v>
      </c>
      <c r="F108" s="29">
        <v>2841426.84</v>
      </c>
      <c r="G108" t="str">
        <f t="shared" si="1"/>
        <v>2088</v>
      </c>
    </row>
    <row r="109" spans="1:7" x14ac:dyDescent="0.25">
      <c r="A109" s="26" t="s">
        <v>220</v>
      </c>
      <c r="B109" s="27" t="s">
        <v>807</v>
      </c>
      <c r="C109" s="28">
        <v>6562383.2000000002</v>
      </c>
      <c r="D109" s="28">
        <v>1339743.32</v>
      </c>
      <c r="E109" s="28">
        <v>1853989.89</v>
      </c>
      <c r="F109" s="29">
        <v>1998949.4</v>
      </c>
      <c r="G109" t="str">
        <f t="shared" si="1"/>
        <v>2097</v>
      </c>
    </row>
    <row r="110" spans="1:7" x14ac:dyDescent="0.25">
      <c r="A110" s="26" t="s">
        <v>222</v>
      </c>
      <c r="B110" s="27" t="s">
        <v>808</v>
      </c>
      <c r="C110" s="28">
        <v>3289377.69</v>
      </c>
      <c r="D110" s="28">
        <v>1006212.67</v>
      </c>
      <c r="E110" s="30">
        <v>143899.82</v>
      </c>
      <c r="F110" s="29">
        <v>183519.2</v>
      </c>
      <c r="G110" t="str">
        <f t="shared" si="1"/>
        <v>2113</v>
      </c>
    </row>
    <row r="111" spans="1:7" x14ac:dyDescent="0.25">
      <c r="A111" s="26" t="s">
        <v>224</v>
      </c>
      <c r="B111" s="27" t="s">
        <v>809</v>
      </c>
      <c r="C111" s="28">
        <v>16114339.390000001</v>
      </c>
      <c r="D111" s="28">
        <v>1636381.42</v>
      </c>
      <c r="E111" s="28">
        <v>2070263.49</v>
      </c>
      <c r="F111" s="29">
        <v>2715125.39</v>
      </c>
      <c r="G111" t="str">
        <f t="shared" si="1"/>
        <v>2124</v>
      </c>
    </row>
    <row r="112" spans="1:7" x14ac:dyDescent="0.25">
      <c r="A112" s="26" t="s">
        <v>226</v>
      </c>
      <c r="B112" s="27" t="s">
        <v>810</v>
      </c>
      <c r="C112" s="28">
        <v>5384472.1699999999</v>
      </c>
      <c r="D112" s="28">
        <v>831102.82</v>
      </c>
      <c r="E112" s="28">
        <v>2212298.87</v>
      </c>
      <c r="F112" s="29">
        <v>2442109.5699999998</v>
      </c>
      <c r="G112" t="str">
        <f t="shared" si="1"/>
        <v>2151</v>
      </c>
    </row>
    <row r="113" spans="1:7" x14ac:dyDescent="0.25">
      <c r="A113" s="26" t="s">
        <v>228</v>
      </c>
      <c r="B113" s="27" t="s">
        <v>811</v>
      </c>
      <c r="C113" s="28">
        <v>20910846.640000001</v>
      </c>
      <c r="D113" s="28">
        <v>2794921.43</v>
      </c>
      <c r="E113" s="28">
        <v>2793121.29</v>
      </c>
      <c r="F113" s="29">
        <v>3590966.08</v>
      </c>
      <c r="G113" t="str">
        <f t="shared" si="1"/>
        <v>2169</v>
      </c>
    </row>
    <row r="114" spans="1:7" x14ac:dyDescent="0.25">
      <c r="A114" s="26" t="s">
        <v>230</v>
      </c>
      <c r="B114" s="27" t="s">
        <v>812</v>
      </c>
      <c r="C114" s="28">
        <v>13436346.07</v>
      </c>
      <c r="D114" s="28">
        <v>2678879.09</v>
      </c>
      <c r="E114" s="28">
        <v>3625858.57</v>
      </c>
      <c r="F114" s="29">
        <v>4092955.35</v>
      </c>
      <c r="G114" t="str">
        <f t="shared" si="1"/>
        <v>2295</v>
      </c>
    </row>
    <row r="115" spans="1:7" x14ac:dyDescent="0.25">
      <c r="A115" s="26" t="s">
        <v>232</v>
      </c>
      <c r="B115" s="27" t="s">
        <v>813</v>
      </c>
      <c r="C115" s="28">
        <v>48496346.240000002</v>
      </c>
      <c r="D115" s="28">
        <v>6502190.8899999997</v>
      </c>
      <c r="E115" s="28">
        <v>8401562.4800000004</v>
      </c>
      <c r="F115" s="29">
        <v>9189106.8800000008</v>
      </c>
      <c r="G115" t="str">
        <f t="shared" si="1"/>
        <v>2313</v>
      </c>
    </row>
    <row r="116" spans="1:7" x14ac:dyDescent="0.25">
      <c r="A116" s="26" t="s">
        <v>234</v>
      </c>
      <c r="B116" s="27" t="s">
        <v>814</v>
      </c>
      <c r="C116" s="28">
        <v>24401058.859999999</v>
      </c>
      <c r="D116" s="28">
        <v>2596017.46</v>
      </c>
      <c r="E116" s="28">
        <v>7868462.4900000002</v>
      </c>
      <c r="F116" s="29">
        <v>8718364.2200000007</v>
      </c>
      <c r="G116" t="str">
        <f t="shared" si="1"/>
        <v>2322</v>
      </c>
    </row>
    <row r="117" spans="1:7" x14ac:dyDescent="0.25">
      <c r="A117" s="26" t="s">
        <v>236</v>
      </c>
      <c r="B117" s="27" t="s">
        <v>815</v>
      </c>
      <c r="C117" s="28">
        <v>6182408.8200000003</v>
      </c>
      <c r="D117" s="28">
        <v>900438.39</v>
      </c>
      <c r="E117" s="28">
        <v>489307.75</v>
      </c>
      <c r="F117" s="29">
        <v>1042795.27</v>
      </c>
      <c r="G117" t="str">
        <f t="shared" si="1"/>
        <v>2369</v>
      </c>
    </row>
    <row r="118" spans="1:7" x14ac:dyDescent="0.25">
      <c r="A118" s="26" t="s">
        <v>238</v>
      </c>
      <c r="B118" s="27" t="s">
        <v>816</v>
      </c>
      <c r="C118" s="28">
        <v>6406675.6600000001</v>
      </c>
      <c r="D118" s="28">
        <v>1962860.7</v>
      </c>
      <c r="E118" s="28">
        <v>3098394.18</v>
      </c>
      <c r="F118" s="29">
        <v>3374567.16</v>
      </c>
      <c r="G118" t="str">
        <f t="shared" si="1"/>
        <v>2376</v>
      </c>
    </row>
    <row r="119" spans="1:7" x14ac:dyDescent="0.25">
      <c r="A119" s="26" t="s">
        <v>240</v>
      </c>
      <c r="B119" s="27" t="s">
        <v>817</v>
      </c>
      <c r="C119" s="28">
        <v>11194919.640000001</v>
      </c>
      <c r="D119" s="28">
        <v>2360694.42</v>
      </c>
      <c r="E119" s="28">
        <v>1713179.6</v>
      </c>
      <c r="F119" s="29">
        <v>2650688.66</v>
      </c>
      <c r="G119" t="str">
        <f t="shared" si="1"/>
        <v>2403</v>
      </c>
    </row>
    <row r="120" spans="1:7" x14ac:dyDescent="0.25">
      <c r="A120" s="26" t="s">
        <v>242</v>
      </c>
      <c r="B120" s="27" t="s">
        <v>818</v>
      </c>
      <c r="C120" s="28">
        <v>5154553.93</v>
      </c>
      <c r="D120" s="28">
        <v>921429.67</v>
      </c>
      <c r="E120" s="28">
        <v>1759010.21</v>
      </c>
      <c r="F120" s="29">
        <v>2265326.96</v>
      </c>
      <c r="G120" t="str">
        <f t="shared" si="1"/>
        <v>2457</v>
      </c>
    </row>
    <row r="121" spans="1:7" x14ac:dyDescent="0.25">
      <c r="A121" s="26" t="s">
        <v>244</v>
      </c>
      <c r="B121" s="27" t="s">
        <v>819</v>
      </c>
      <c r="C121" s="28">
        <v>18572881.559999999</v>
      </c>
      <c r="D121" s="28">
        <v>2423159.58</v>
      </c>
      <c r="E121" s="28">
        <v>3500624.86</v>
      </c>
      <c r="F121" s="29">
        <v>3855448.78</v>
      </c>
      <c r="G121" t="str">
        <f t="shared" si="1"/>
        <v>2466</v>
      </c>
    </row>
    <row r="122" spans="1:7" x14ac:dyDescent="0.25">
      <c r="A122" s="26" t="s">
        <v>246</v>
      </c>
      <c r="B122" s="27" t="s">
        <v>820</v>
      </c>
      <c r="C122" s="28">
        <v>2589388.5</v>
      </c>
      <c r="D122" s="28">
        <v>395984.54</v>
      </c>
      <c r="E122" s="30">
        <v>-450350.36</v>
      </c>
      <c r="F122" s="31">
        <v>-372004.25</v>
      </c>
      <c r="G122" t="str">
        <f t="shared" si="1"/>
        <v>2493</v>
      </c>
    </row>
    <row r="123" spans="1:7" x14ac:dyDescent="0.25">
      <c r="A123" s="26" t="s">
        <v>248</v>
      </c>
      <c r="B123" s="27" t="s">
        <v>821</v>
      </c>
      <c r="C123" s="28">
        <v>7405765.46</v>
      </c>
      <c r="D123" s="28">
        <v>761621.78</v>
      </c>
      <c r="E123" s="28">
        <v>1561462.07</v>
      </c>
      <c r="F123" s="29">
        <v>1832360.54</v>
      </c>
      <c r="G123" t="str">
        <f t="shared" si="1"/>
        <v>2502</v>
      </c>
    </row>
    <row r="124" spans="1:7" x14ac:dyDescent="0.25">
      <c r="A124" s="26" t="s">
        <v>250</v>
      </c>
      <c r="B124" s="27" t="s">
        <v>822</v>
      </c>
      <c r="C124" s="28">
        <v>22902442.649999999</v>
      </c>
      <c r="D124" s="28">
        <v>2371728.9500000002</v>
      </c>
      <c r="E124" s="28">
        <v>2305627.79</v>
      </c>
      <c r="F124" s="29">
        <v>4230856.66</v>
      </c>
      <c r="G124" t="str">
        <f t="shared" si="1"/>
        <v>2511</v>
      </c>
    </row>
    <row r="125" spans="1:7" x14ac:dyDescent="0.25">
      <c r="A125" s="26" t="s">
        <v>252</v>
      </c>
      <c r="B125" s="27" t="s">
        <v>823</v>
      </c>
      <c r="C125" s="28">
        <v>4069541.86</v>
      </c>
      <c r="D125" s="28">
        <v>903471.98</v>
      </c>
      <c r="E125" s="28">
        <v>924896.84</v>
      </c>
      <c r="F125" s="29">
        <v>1149384.6399999999</v>
      </c>
      <c r="G125" t="str">
        <f t="shared" si="1"/>
        <v>2520</v>
      </c>
    </row>
    <row r="126" spans="1:7" x14ac:dyDescent="0.25">
      <c r="A126" s="26" t="s">
        <v>256</v>
      </c>
      <c r="B126" s="27" t="s">
        <v>824</v>
      </c>
      <c r="C126" s="28">
        <v>6052016.6600000001</v>
      </c>
      <c r="D126" s="28">
        <v>1221797.44</v>
      </c>
      <c r="E126" s="30">
        <v>-636278.23</v>
      </c>
      <c r="F126" s="29">
        <v>-120671.01</v>
      </c>
      <c r="G126" t="str">
        <f t="shared" si="1"/>
        <v>2556</v>
      </c>
    </row>
    <row r="127" spans="1:7" x14ac:dyDescent="0.25">
      <c r="A127" s="26" t="s">
        <v>415</v>
      </c>
      <c r="B127" s="27" t="s">
        <v>825</v>
      </c>
      <c r="C127" s="28">
        <v>7681436.46</v>
      </c>
      <c r="D127" s="28">
        <v>1275074.21</v>
      </c>
      <c r="E127" s="28">
        <v>3253366.03</v>
      </c>
      <c r="F127" s="29">
        <v>3380527.29</v>
      </c>
      <c r="G127" t="str">
        <f t="shared" si="1"/>
        <v>2673</v>
      </c>
    </row>
    <row r="128" spans="1:7" x14ac:dyDescent="0.25">
      <c r="A128" s="26" t="s">
        <v>254</v>
      </c>
      <c r="B128" s="27" t="s">
        <v>826</v>
      </c>
      <c r="C128" s="28">
        <v>5337871.7300000004</v>
      </c>
      <c r="D128" s="28">
        <v>2514296.48</v>
      </c>
      <c r="E128" s="28">
        <v>2062065.53</v>
      </c>
      <c r="F128" s="29">
        <v>2290546.06</v>
      </c>
      <c r="G128" t="str">
        <f t="shared" si="1"/>
        <v>2682</v>
      </c>
    </row>
    <row r="129" spans="1:7" x14ac:dyDescent="0.25">
      <c r="A129" s="26" t="s">
        <v>260</v>
      </c>
      <c r="B129" s="27" t="s">
        <v>827</v>
      </c>
      <c r="C129" s="28">
        <v>20589640.530000001</v>
      </c>
      <c r="D129" s="28">
        <v>2689287.78</v>
      </c>
      <c r="E129" s="28">
        <v>2890968.75</v>
      </c>
      <c r="F129" s="29">
        <v>3240277.85</v>
      </c>
      <c r="G129" t="str">
        <f t="shared" si="1"/>
        <v>2709</v>
      </c>
    </row>
    <row r="130" spans="1:7" x14ac:dyDescent="0.25">
      <c r="A130" s="26" t="s">
        <v>262</v>
      </c>
      <c r="B130" s="27" t="s">
        <v>828</v>
      </c>
      <c r="C130" s="28">
        <v>6334147.9800000004</v>
      </c>
      <c r="D130" s="28">
        <v>1241930.45</v>
      </c>
      <c r="E130" s="28">
        <v>2247741.06</v>
      </c>
      <c r="F130" s="29">
        <v>2435179.37</v>
      </c>
      <c r="G130" t="str">
        <f t="shared" si="1"/>
        <v>2718</v>
      </c>
    </row>
    <row r="131" spans="1:7" x14ac:dyDescent="0.25">
      <c r="A131" s="26" t="s">
        <v>264</v>
      </c>
      <c r="B131" s="27" t="s">
        <v>829</v>
      </c>
      <c r="C131" s="28">
        <v>8411527.3599999994</v>
      </c>
      <c r="D131" s="28">
        <v>1084835.2</v>
      </c>
      <c r="E131" s="28">
        <v>880876.06</v>
      </c>
      <c r="F131" s="29">
        <v>1124805.02</v>
      </c>
      <c r="G131" t="str">
        <f t="shared" si="1"/>
        <v>2727</v>
      </c>
    </row>
    <row r="132" spans="1:7" x14ac:dyDescent="0.25">
      <c r="A132" s="26" t="s">
        <v>266</v>
      </c>
      <c r="B132" s="27" t="s">
        <v>830</v>
      </c>
      <c r="C132" s="28">
        <v>6889526.3099999996</v>
      </c>
      <c r="D132" s="28">
        <v>2134134.23</v>
      </c>
      <c r="E132" s="28">
        <v>1618830.49</v>
      </c>
      <c r="F132" s="29">
        <v>1798277.58</v>
      </c>
      <c r="G132" t="str">
        <f t="shared" si="1"/>
        <v>2754</v>
      </c>
    </row>
    <row r="133" spans="1:7" x14ac:dyDescent="0.25">
      <c r="A133" s="26" t="s">
        <v>137</v>
      </c>
      <c r="B133" s="27" t="s">
        <v>831</v>
      </c>
      <c r="C133" s="28">
        <v>12615811.73</v>
      </c>
      <c r="D133" s="28">
        <v>6588665.7400000002</v>
      </c>
      <c r="E133" s="28">
        <v>1049464.46</v>
      </c>
      <c r="F133" s="29">
        <v>1437185.32</v>
      </c>
      <c r="G133" t="str">
        <f t="shared" si="1"/>
        <v>2763</v>
      </c>
    </row>
    <row r="134" spans="1:7" x14ac:dyDescent="0.25">
      <c r="A134" s="26" t="s">
        <v>282</v>
      </c>
      <c r="B134" s="27" t="s">
        <v>832</v>
      </c>
      <c r="C134" s="28">
        <v>4883045.8099999996</v>
      </c>
      <c r="D134" s="28">
        <v>780758.35</v>
      </c>
      <c r="E134" s="28">
        <v>925812.36</v>
      </c>
      <c r="F134" s="29">
        <v>1143706.42</v>
      </c>
      <c r="G134" t="str">
        <f t="shared" ref="G134:G197" si="2">TEXT(A134,"0000")</f>
        <v>2766</v>
      </c>
    </row>
    <row r="135" spans="1:7" x14ac:dyDescent="0.25">
      <c r="A135" s="26" t="s">
        <v>268</v>
      </c>
      <c r="B135" s="27" t="s">
        <v>833</v>
      </c>
      <c r="C135" s="28">
        <v>3319348.92</v>
      </c>
      <c r="D135" s="28">
        <v>671627.72</v>
      </c>
      <c r="E135" s="28">
        <v>1488806.31</v>
      </c>
      <c r="F135" s="29">
        <v>1587573.61</v>
      </c>
      <c r="G135" t="str">
        <f t="shared" si="2"/>
        <v>2772</v>
      </c>
    </row>
    <row r="136" spans="1:7" x14ac:dyDescent="0.25">
      <c r="A136" s="26" t="s">
        <v>270</v>
      </c>
      <c r="B136" s="27" t="s">
        <v>834</v>
      </c>
      <c r="C136" s="28">
        <v>15920357.800000001</v>
      </c>
      <c r="D136" s="28">
        <v>2933856.55</v>
      </c>
      <c r="E136" s="28">
        <v>1722429.79</v>
      </c>
      <c r="F136" s="29">
        <v>1840995.02</v>
      </c>
      <c r="G136" t="str">
        <f t="shared" si="2"/>
        <v>2781</v>
      </c>
    </row>
    <row r="137" spans="1:7" x14ac:dyDescent="0.25">
      <c r="A137" s="26" t="s">
        <v>272</v>
      </c>
      <c r="B137" s="27" t="s">
        <v>835</v>
      </c>
      <c r="C137" s="28">
        <v>17226164.300000001</v>
      </c>
      <c r="D137" s="28">
        <v>2729150.76</v>
      </c>
      <c r="E137" s="28">
        <v>2996401.36</v>
      </c>
      <c r="F137" s="29">
        <v>3328749.91</v>
      </c>
      <c r="G137" t="str">
        <f t="shared" si="2"/>
        <v>2826</v>
      </c>
    </row>
    <row r="138" spans="1:7" x14ac:dyDescent="0.25">
      <c r="A138" s="26" t="s">
        <v>274</v>
      </c>
      <c r="B138" s="27" t="s">
        <v>836</v>
      </c>
      <c r="C138" s="28">
        <v>3630037.33</v>
      </c>
      <c r="D138" s="28">
        <v>751741.2</v>
      </c>
      <c r="E138" s="28">
        <v>3279618.39</v>
      </c>
      <c r="F138" s="29">
        <v>3415655.15</v>
      </c>
      <c r="G138" t="str">
        <f t="shared" si="2"/>
        <v>2846</v>
      </c>
    </row>
    <row r="139" spans="1:7" x14ac:dyDescent="0.25">
      <c r="A139" s="26" t="s">
        <v>276</v>
      </c>
      <c r="B139" s="27" t="s">
        <v>837</v>
      </c>
      <c r="C139" s="28">
        <v>8315760.25</v>
      </c>
      <c r="D139" s="28">
        <v>993820.78</v>
      </c>
      <c r="E139" s="28">
        <v>1630066.4</v>
      </c>
      <c r="F139" s="29">
        <v>1798816.41</v>
      </c>
      <c r="G139" t="str">
        <f t="shared" si="2"/>
        <v>2862</v>
      </c>
    </row>
    <row r="140" spans="1:7" x14ac:dyDescent="0.25">
      <c r="A140" s="26" t="s">
        <v>278</v>
      </c>
      <c r="B140" s="27" t="s">
        <v>838</v>
      </c>
      <c r="C140" s="28">
        <v>7927750.8499999996</v>
      </c>
      <c r="D140" s="28">
        <v>1270282.02</v>
      </c>
      <c r="E140" s="28">
        <v>2136038.13</v>
      </c>
      <c r="F140" s="29">
        <v>2412527.56</v>
      </c>
      <c r="G140" t="str">
        <f t="shared" si="2"/>
        <v>2977</v>
      </c>
    </row>
    <row r="141" spans="1:7" x14ac:dyDescent="0.25">
      <c r="A141" s="26" t="s">
        <v>280</v>
      </c>
      <c r="B141" s="27" t="s">
        <v>839</v>
      </c>
      <c r="C141" s="28">
        <v>8095636.9400000004</v>
      </c>
      <c r="D141" s="28">
        <v>2893951.66</v>
      </c>
      <c r="E141" s="28">
        <v>2005610.03</v>
      </c>
      <c r="F141" s="29">
        <v>2154492.34</v>
      </c>
      <c r="G141" t="str">
        <f t="shared" si="2"/>
        <v>2988</v>
      </c>
    </row>
    <row r="142" spans="1:7" x14ac:dyDescent="0.25">
      <c r="A142" s="26" t="s">
        <v>284</v>
      </c>
      <c r="B142" s="27" t="s">
        <v>840</v>
      </c>
      <c r="C142" s="28">
        <v>15086503.32</v>
      </c>
      <c r="D142" s="28">
        <v>2231268.75</v>
      </c>
      <c r="E142" s="28">
        <v>2620934.15</v>
      </c>
      <c r="F142" s="29">
        <v>3395730.61</v>
      </c>
      <c r="G142" t="str">
        <f t="shared" si="2"/>
        <v>3029</v>
      </c>
    </row>
    <row r="143" spans="1:7" x14ac:dyDescent="0.25">
      <c r="A143" s="26" t="s">
        <v>286</v>
      </c>
      <c r="B143" s="27" t="s">
        <v>841</v>
      </c>
      <c r="C143" s="28">
        <v>6109980.6900000004</v>
      </c>
      <c r="D143" s="28">
        <v>1504836.29</v>
      </c>
      <c r="E143" s="28">
        <v>1146178.07</v>
      </c>
      <c r="F143" s="29">
        <v>1437206.95</v>
      </c>
      <c r="G143" t="str">
        <f t="shared" si="2"/>
        <v>3033</v>
      </c>
    </row>
    <row r="144" spans="1:7" x14ac:dyDescent="0.25">
      <c r="A144" s="26" t="s">
        <v>288</v>
      </c>
      <c r="B144" s="27" t="s">
        <v>842</v>
      </c>
      <c r="C144" s="28">
        <v>8770369.6699999999</v>
      </c>
      <c r="D144" s="28">
        <v>1371559.89</v>
      </c>
      <c r="E144" s="28">
        <v>2156536.69</v>
      </c>
      <c r="F144" s="29">
        <v>2393170.09</v>
      </c>
      <c r="G144" t="str">
        <f t="shared" si="2"/>
        <v>3042</v>
      </c>
    </row>
    <row r="145" spans="1:7" x14ac:dyDescent="0.25">
      <c r="A145" s="26" t="s">
        <v>290</v>
      </c>
      <c r="B145" s="27" t="s">
        <v>843</v>
      </c>
      <c r="C145" s="28">
        <v>17006408.329999998</v>
      </c>
      <c r="D145" s="28">
        <v>3642442.69</v>
      </c>
      <c r="E145" s="28">
        <v>2836819.18</v>
      </c>
      <c r="F145" s="29">
        <v>3033467.21</v>
      </c>
      <c r="G145" t="str">
        <f t="shared" si="2"/>
        <v>3060</v>
      </c>
    </row>
    <row r="146" spans="1:7" x14ac:dyDescent="0.25">
      <c r="A146" s="26" t="s">
        <v>293</v>
      </c>
      <c r="B146" s="27" t="s">
        <v>844</v>
      </c>
      <c r="C146" s="28">
        <v>17341265.629999999</v>
      </c>
      <c r="D146" s="28">
        <v>2409100.84</v>
      </c>
      <c r="E146" s="28">
        <v>4171013.44</v>
      </c>
      <c r="F146" s="29">
        <v>4818409.97</v>
      </c>
      <c r="G146" t="str">
        <f t="shared" si="2"/>
        <v>3105</v>
      </c>
    </row>
    <row r="147" spans="1:7" x14ac:dyDescent="0.25">
      <c r="A147" s="26" t="s">
        <v>295</v>
      </c>
      <c r="B147" s="27" t="s">
        <v>845</v>
      </c>
      <c r="C147" s="28">
        <v>40189809.979999997</v>
      </c>
      <c r="D147" s="28">
        <v>5045310.34</v>
      </c>
      <c r="E147" s="28">
        <v>7437428.0099999998</v>
      </c>
      <c r="F147" s="29">
        <v>8118017.4800000004</v>
      </c>
      <c r="G147" t="str">
        <f t="shared" si="2"/>
        <v>3114</v>
      </c>
    </row>
    <row r="148" spans="1:7" x14ac:dyDescent="0.25">
      <c r="A148" s="26" t="s">
        <v>297</v>
      </c>
      <c r="B148" s="27" t="s">
        <v>846</v>
      </c>
      <c r="C148" s="28">
        <v>10854804.109999999</v>
      </c>
      <c r="D148" s="28">
        <v>1656670.39</v>
      </c>
      <c r="E148" s="28">
        <v>1799048.72</v>
      </c>
      <c r="F148" s="29">
        <v>2189687.84</v>
      </c>
      <c r="G148" t="str">
        <f t="shared" si="2"/>
        <v>3119</v>
      </c>
    </row>
    <row r="149" spans="1:7" x14ac:dyDescent="0.25">
      <c r="A149" s="26" t="s">
        <v>299</v>
      </c>
      <c r="B149" s="27" t="s">
        <v>847</v>
      </c>
      <c r="C149" s="28">
        <v>185798102.06999999</v>
      </c>
      <c r="D149" s="28">
        <v>19699856.34</v>
      </c>
      <c r="E149" s="28">
        <v>11645791.08</v>
      </c>
      <c r="F149" s="29">
        <v>15726539.300000001</v>
      </c>
      <c r="G149" t="str">
        <f t="shared" si="2"/>
        <v>3141</v>
      </c>
    </row>
    <row r="150" spans="1:7" x14ac:dyDescent="0.25">
      <c r="A150" s="26" t="s">
        <v>301</v>
      </c>
      <c r="B150" s="27" t="s">
        <v>848</v>
      </c>
      <c r="C150" s="28">
        <v>14491330.939999999</v>
      </c>
      <c r="D150" s="28">
        <v>2700256.91</v>
      </c>
      <c r="E150" s="28">
        <v>3103625.11</v>
      </c>
      <c r="F150" s="29">
        <v>3554641.85</v>
      </c>
      <c r="G150" t="str">
        <f t="shared" si="2"/>
        <v>3150</v>
      </c>
    </row>
    <row r="151" spans="1:7" x14ac:dyDescent="0.25">
      <c r="A151" s="26" t="s">
        <v>303</v>
      </c>
      <c r="B151" s="27" t="s">
        <v>849</v>
      </c>
      <c r="C151" s="28">
        <v>6552583.3899999997</v>
      </c>
      <c r="D151" s="28">
        <v>837567.58</v>
      </c>
      <c r="E151" s="28">
        <v>1658965.35</v>
      </c>
      <c r="F151" s="29">
        <v>2388200.13</v>
      </c>
      <c r="G151" t="str">
        <f t="shared" si="2"/>
        <v>3154</v>
      </c>
    </row>
    <row r="152" spans="1:7" x14ac:dyDescent="0.25">
      <c r="A152" s="26" t="s">
        <v>292</v>
      </c>
      <c r="B152" s="27" t="s">
        <v>850</v>
      </c>
      <c r="C152" s="28">
        <v>9255707.1799999997</v>
      </c>
      <c r="D152" s="28">
        <v>1883260.82</v>
      </c>
      <c r="E152" s="28">
        <v>2306449.13</v>
      </c>
      <c r="F152" s="29">
        <v>2517052.19</v>
      </c>
      <c r="G152" t="str">
        <f t="shared" si="2"/>
        <v>3168</v>
      </c>
    </row>
    <row r="153" spans="1:7" x14ac:dyDescent="0.25">
      <c r="A153" s="26" t="s">
        <v>305</v>
      </c>
      <c r="B153" s="27" t="s">
        <v>851</v>
      </c>
      <c r="C153" s="28">
        <v>5214606.49</v>
      </c>
      <c r="D153" s="28">
        <v>767411.64</v>
      </c>
      <c r="E153" s="28">
        <v>1115271.74</v>
      </c>
      <c r="F153" s="29">
        <v>1302815.3999999999</v>
      </c>
      <c r="G153" t="str">
        <f t="shared" si="2"/>
        <v>3186</v>
      </c>
    </row>
    <row r="154" spans="1:7" x14ac:dyDescent="0.25">
      <c r="A154" s="26" t="s">
        <v>258</v>
      </c>
      <c r="B154" s="27" t="s">
        <v>852</v>
      </c>
      <c r="C154" s="28">
        <v>15969022</v>
      </c>
      <c r="D154" s="28">
        <v>2087968.71</v>
      </c>
      <c r="E154" s="28">
        <v>2175591.2000000002</v>
      </c>
      <c r="F154" s="29">
        <v>2547609.39</v>
      </c>
      <c r="G154" t="str">
        <f t="shared" si="2"/>
        <v>3195</v>
      </c>
    </row>
    <row r="155" spans="1:7" x14ac:dyDescent="0.25">
      <c r="A155" s="26" t="s">
        <v>307</v>
      </c>
      <c r="B155" s="27" t="s">
        <v>853</v>
      </c>
      <c r="C155" s="28">
        <v>10898698.619999999</v>
      </c>
      <c r="D155" s="28">
        <v>1621617.39</v>
      </c>
      <c r="E155" s="28">
        <v>2261422.04</v>
      </c>
      <c r="F155" s="29">
        <v>2730788.16</v>
      </c>
      <c r="G155" t="str">
        <f t="shared" si="2"/>
        <v>3204</v>
      </c>
    </row>
    <row r="156" spans="1:7" x14ac:dyDescent="0.25">
      <c r="A156" s="26" t="s">
        <v>309</v>
      </c>
      <c r="B156" s="27" t="s">
        <v>854</v>
      </c>
      <c r="C156" s="28">
        <v>86582676.590000004</v>
      </c>
      <c r="D156" s="28">
        <v>12886562.65</v>
      </c>
      <c r="E156" s="28">
        <v>13781660.02</v>
      </c>
      <c r="F156" s="29">
        <v>15971161.109999999</v>
      </c>
      <c r="G156" t="str">
        <f t="shared" si="2"/>
        <v>3231</v>
      </c>
    </row>
    <row r="157" spans="1:7" x14ac:dyDescent="0.25">
      <c r="A157" s="26" t="s">
        <v>311</v>
      </c>
      <c r="B157" s="27" t="s">
        <v>855</v>
      </c>
      <c r="C157" s="28">
        <v>22812038.949999999</v>
      </c>
      <c r="D157" s="28">
        <v>2477401.7999999998</v>
      </c>
      <c r="E157" s="28">
        <v>7296971.7800000003</v>
      </c>
      <c r="F157" s="29">
        <v>7573007.7300000004</v>
      </c>
      <c r="G157" t="str">
        <f t="shared" si="2"/>
        <v>3312</v>
      </c>
    </row>
    <row r="158" spans="1:7" x14ac:dyDescent="0.25">
      <c r="A158" s="26" t="s">
        <v>313</v>
      </c>
      <c r="B158" s="27" t="s">
        <v>856</v>
      </c>
      <c r="C158" s="28">
        <v>4410259.29</v>
      </c>
      <c r="D158" s="28">
        <v>395069</v>
      </c>
      <c r="E158" s="28">
        <v>337748.38</v>
      </c>
      <c r="F158" s="29">
        <v>663835.91</v>
      </c>
      <c r="G158" t="str">
        <f t="shared" si="2"/>
        <v>3330</v>
      </c>
    </row>
    <row r="159" spans="1:7" x14ac:dyDescent="0.25">
      <c r="A159" s="26" t="s">
        <v>315</v>
      </c>
      <c r="B159" s="27" t="s">
        <v>857</v>
      </c>
      <c r="C159" s="28">
        <v>5641189.2300000004</v>
      </c>
      <c r="D159" s="28">
        <v>962545.59</v>
      </c>
      <c r="E159" s="28">
        <v>1462459.06</v>
      </c>
      <c r="F159" s="29">
        <v>1679705.42</v>
      </c>
      <c r="G159" t="str">
        <f t="shared" si="2"/>
        <v>3348</v>
      </c>
    </row>
    <row r="160" spans="1:7" x14ac:dyDescent="0.25">
      <c r="A160" s="26" t="s">
        <v>317</v>
      </c>
      <c r="B160" s="27" t="s">
        <v>858</v>
      </c>
      <c r="C160" s="28">
        <v>21852107.539999999</v>
      </c>
      <c r="D160" s="28">
        <v>2689804.42</v>
      </c>
      <c r="E160" s="28">
        <v>3341087.28</v>
      </c>
      <c r="F160" s="29">
        <v>3970968.62</v>
      </c>
      <c r="G160" t="str">
        <f t="shared" si="2"/>
        <v>3375</v>
      </c>
    </row>
    <row r="161" spans="1:7" x14ac:dyDescent="0.25">
      <c r="A161" s="26" t="s">
        <v>319</v>
      </c>
      <c r="B161" s="27" t="s">
        <v>859</v>
      </c>
      <c r="C161" s="28">
        <v>7819101.71</v>
      </c>
      <c r="D161" s="28">
        <v>1495176</v>
      </c>
      <c r="E161" s="28">
        <v>2298507.5099999998</v>
      </c>
      <c r="F161" s="29">
        <v>2624754.41</v>
      </c>
      <c r="G161" t="str">
        <f t="shared" si="2"/>
        <v>3420</v>
      </c>
    </row>
    <row r="162" spans="1:7" x14ac:dyDescent="0.25">
      <c r="A162" s="26" t="s">
        <v>321</v>
      </c>
      <c r="B162" s="27" t="s">
        <v>860</v>
      </c>
      <c r="C162" s="28">
        <v>4657780.76</v>
      </c>
      <c r="D162" s="28">
        <v>1151301.24</v>
      </c>
      <c r="E162" s="30">
        <v>-470489.4</v>
      </c>
      <c r="F162" s="31">
        <v>-401931.17</v>
      </c>
      <c r="G162" t="str">
        <f t="shared" si="2"/>
        <v>3465</v>
      </c>
    </row>
    <row r="163" spans="1:7" x14ac:dyDescent="0.25">
      <c r="A163" s="26" t="s">
        <v>323</v>
      </c>
      <c r="B163" s="27" t="s">
        <v>861</v>
      </c>
      <c r="C163" s="28">
        <v>3861114.78</v>
      </c>
      <c r="D163" s="28">
        <v>577965.80000000005</v>
      </c>
      <c r="E163" s="28">
        <v>1397734.79</v>
      </c>
      <c r="F163" s="29">
        <v>1778496.32</v>
      </c>
      <c r="G163" t="str">
        <f t="shared" si="2"/>
        <v>3537</v>
      </c>
    </row>
    <row r="164" spans="1:7" x14ac:dyDescent="0.25">
      <c r="A164" s="26" t="s">
        <v>325</v>
      </c>
      <c r="B164" s="27" t="s">
        <v>862</v>
      </c>
      <c r="C164" s="28">
        <v>7513475.8099999996</v>
      </c>
      <c r="D164" s="28">
        <v>1797600.52</v>
      </c>
      <c r="E164" s="28">
        <v>3377502.92</v>
      </c>
      <c r="F164" s="29">
        <v>3818570.59</v>
      </c>
      <c r="G164" t="str">
        <f t="shared" si="2"/>
        <v>3555</v>
      </c>
    </row>
    <row r="165" spans="1:7" x14ac:dyDescent="0.25">
      <c r="A165" s="26" t="s">
        <v>327</v>
      </c>
      <c r="B165" s="27" t="s">
        <v>863</v>
      </c>
      <c r="C165" s="28">
        <v>24996781.350000001</v>
      </c>
      <c r="D165" s="28">
        <v>2952521.2</v>
      </c>
      <c r="E165" s="28">
        <v>6968209</v>
      </c>
      <c r="F165" s="29">
        <v>7389611.1799999997</v>
      </c>
      <c r="G165" t="str">
        <f t="shared" si="2"/>
        <v>3600</v>
      </c>
    </row>
    <row r="166" spans="1:7" x14ac:dyDescent="0.25">
      <c r="A166" s="26" t="s">
        <v>329</v>
      </c>
      <c r="B166" s="27" t="s">
        <v>864</v>
      </c>
      <c r="C166" s="28">
        <v>5941539.2599999998</v>
      </c>
      <c r="D166" s="28">
        <v>1419261.27</v>
      </c>
      <c r="E166" s="28">
        <v>2223328.94</v>
      </c>
      <c r="F166" s="29">
        <v>2558550.02</v>
      </c>
      <c r="G166" t="str">
        <f t="shared" si="2"/>
        <v>3609</v>
      </c>
    </row>
    <row r="167" spans="1:7" x14ac:dyDescent="0.25">
      <c r="A167" s="26" t="s">
        <v>331</v>
      </c>
      <c r="B167" s="27" t="s">
        <v>865</v>
      </c>
      <c r="C167" s="28">
        <v>35947008.380000003</v>
      </c>
      <c r="D167" s="28">
        <v>8231317.75</v>
      </c>
      <c r="E167" s="28">
        <v>9233301.1099999994</v>
      </c>
      <c r="F167" s="29">
        <v>10301145.4</v>
      </c>
      <c r="G167" t="str">
        <f t="shared" si="2"/>
        <v>3645</v>
      </c>
    </row>
    <row r="168" spans="1:7" x14ac:dyDescent="0.25">
      <c r="A168" s="26" t="s">
        <v>419</v>
      </c>
      <c r="B168" s="27" t="s">
        <v>866</v>
      </c>
      <c r="C168" s="28">
        <v>10325238.310000001</v>
      </c>
      <c r="D168" s="28">
        <v>1287256.68</v>
      </c>
      <c r="E168" s="28">
        <v>1013869.7</v>
      </c>
      <c r="F168" s="29">
        <v>1503994.08</v>
      </c>
      <c r="G168" t="str">
        <f t="shared" si="2"/>
        <v>3691</v>
      </c>
    </row>
    <row r="169" spans="1:7" x14ac:dyDescent="0.25">
      <c r="A169" s="26" t="s">
        <v>333</v>
      </c>
      <c r="B169" s="27" t="s">
        <v>867</v>
      </c>
      <c r="C169" s="28">
        <v>93852702.810000002</v>
      </c>
      <c r="D169" s="28">
        <v>12719761.449999999</v>
      </c>
      <c r="E169" s="28">
        <v>13220228.82</v>
      </c>
      <c r="F169" s="29">
        <v>13955155.779999999</v>
      </c>
      <c r="G169" t="str">
        <f t="shared" si="2"/>
        <v>3715</v>
      </c>
    </row>
    <row r="170" spans="1:7" x14ac:dyDescent="0.25">
      <c r="A170" s="26" t="s">
        <v>335</v>
      </c>
      <c r="B170" s="27" t="s">
        <v>868</v>
      </c>
      <c r="C170" s="28">
        <v>8174040.7000000002</v>
      </c>
      <c r="D170" s="28">
        <v>1658561.96</v>
      </c>
      <c r="E170" s="28">
        <v>1707317.58</v>
      </c>
      <c r="F170" s="29">
        <v>2185232.44</v>
      </c>
      <c r="G170" t="str">
        <f t="shared" si="2"/>
        <v>3744</v>
      </c>
    </row>
    <row r="171" spans="1:7" x14ac:dyDescent="0.25">
      <c r="A171" s="26" t="s">
        <v>337</v>
      </c>
      <c r="B171" s="27" t="s">
        <v>869</v>
      </c>
      <c r="C171" s="28">
        <v>7468772.8799999999</v>
      </c>
      <c r="D171" s="28">
        <v>1531980.12</v>
      </c>
      <c r="E171" s="28">
        <v>1438071.07</v>
      </c>
      <c r="F171" s="29">
        <v>1705938.18</v>
      </c>
      <c r="G171" t="str">
        <f t="shared" si="2"/>
        <v>3798</v>
      </c>
    </row>
    <row r="172" spans="1:7" x14ac:dyDescent="0.25">
      <c r="A172" s="26" t="s">
        <v>339</v>
      </c>
      <c r="B172" s="27" t="s">
        <v>870</v>
      </c>
      <c r="C172" s="28">
        <v>4956447.66</v>
      </c>
      <c r="D172" s="28">
        <v>1271398.22</v>
      </c>
      <c r="E172" s="28">
        <v>1262521.04</v>
      </c>
      <c r="F172" s="29">
        <v>1392026.04</v>
      </c>
      <c r="G172" t="str">
        <f t="shared" si="2"/>
        <v>3816</v>
      </c>
    </row>
    <row r="173" spans="1:7" x14ac:dyDescent="0.25">
      <c r="A173" s="26" t="s">
        <v>341</v>
      </c>
      <c r="B173" s="27" t="s">
        <v>871</v>
      </c>
      <c r="C173" s="28">
        <v>10185356.66</v>
      </c>
      <c r="D173" s="28">
        <v>2090308.42</v>
      </c>
      <c r="E173" s="28">
        <v>1813034.98</v>
      </c>
      <c r="F173" s="29">
        <v>2224365.98</v>
      </c>
      <c r="G173" t="str">
        <f t="shared" si="2"/>
        <v>3841</v>
      </c>
    </row>
    <row r="174" spans="1:7" x14ac:dyDescent="0.25">
      <c r="A174" s="26" t="s">
        <v>343</v>
      </c>
      <c r="B174" s="27" t="s">
        <v>872</v>
      </c>
      <c r="C174" s="28">
        <v>2536425.65</v>
      </c>
      <c r="D174" s="28">
        <v>347260.91</v>
      </c>
      <c r="E174" s="28">
        <v>755780.79</v>
      </c>
      <c r="F174" s="29">
        <v>1069362.1100000001</v>
      </c>
      <c r="G174" t="str">
        <f t="shared" si="2"/>
        <v>3897</v>
      </c>
    </row>
    <row r="175" spans="1:7" x14ac:dyDescent="0.25">
      <c r="A175" s="26" t="s">
        <v>345</v>
      </c>
      <c r="B175" s="27" t="s">
        <v>873</v>
      </c>
      <c r="C175" s="28">
        <v>6080590.4500000002</v>
      </c>
      <c r="D175" s="28">
        <v>1213380.8799999999</v>
      </c>
      <c r="E175" s="28">
        <v>1437101.24</v>
      </c>
      <c r="F175" s="29">
        <v>1637583.23</v>
      </c>
      <c r="G175" t="str">
        <f t="shared" si="2"/>
        <v>3906</v>
      </c>
    </row>
    <row r="176" spans="1:7" x14ac:dyDescent="0.25">
      <c r="A176" s="26" t="s">
        <v>347</v>
      </c>
      <c r="B176" s="27" t="s">
        <v>874</v>
      </c>
      <c r="C176" s="28">
        <v>8110079.1600000001</v>
      </c>
      <c r="D176" s="28">
        <v>996314.31</v>
      </c>
      <c r="E176" s="28">
        <v>1638166.53</v>
      </c>
      <c r="F176" s="29">
        <v>1995641.09</v>
      </c>
      <c r="G176" t="str">
        <f t="shared" si="2"/>
        <v>3942</v>
      </c>
    </row>
    <row r="177" spans="1:7" x14ac:dyDescent="0.25">
      <c r="A177" s="26" t="s">
        <v>202</v>
      </c>
      <c r="B177" s="27" t="s">
        <v>875</v>
      </c>
      <c r="C177" s="28">
        <v>7186336.71</v>
      </c>
      <c r="D177" s="28">
        <v>1150028.7</v>
      </c>
      <c r="E177" s="28">
        <v>4063656.99</v>
      </c>
      <c r="F177" s="29">
        <v>4421736.58</v>
      </c>
      <c r="G177" t="str">
        <f t="shared" si="2"/>
        <v>3978</v>
      </c>
    </row>
    <row r="178" spans="1:7" x14ac:dyDescent="0.25">
      <c r="A178" s="26" t="s">
        <v>349</v>
      </c>
      <c r="B178" s="27" t="s">
        <v>876</v>
      </c>
      <c r="C178" s="28">
        <v>8749057.4800000004</v>
      </c>
      <c r="D178" s="28">
        <v>2304532.4500000002</v>
      </c>
      <c r="E178" s="28">
        <v>2998721.58</v>
      </c>
      <c r="F178" s="29">
        <v>3227493.53</v>
      </c>
      <c r="G178" t="str">
        <f t="shared" si="2"/>
        <v>4023</v>
      </c>
    </row>
    <row r="179" spans="1:7" x14ac:dyDescent="0.25">
      <c r="A179" s="26" t="s">
        <v>351</v>
      </c>
      <c r="B179" s="27" t="s">
        <v>877</v>
      </c>
      <c r="C179" s="28">
        <v>9075027</v>
      </c>
      <c r="D179" s="28">
        <v>2352429.9900000002</v>
      </c>
      <c r="E179" s="28">
        <v>2303520.94</v>
      </c>
      <c r="F179" s="29">
        <v>2876927.79</v>
      </c>
      <c r="G179" t="str">
        <f t="shared" si="2"/>
        <v>4033</v>
      </c>
    </row>
    <row r="180" spans="1:7" x14ac:dyDescent="0.25">
      <c r="A180" s="26" t="s">
        <v>353</v>
      </c>
      <c r="B180" s="27" t="s">
        <v>878</v>
      </c>
      <c r="C180" s="28">
        <v>18846087.829999998</v>
      </c>
      <c r="D180" s="28">
        <v>3507903.14</v>
      </c>
      <c r="E180" s="28">
        <v>3090461.04</v>
      </c>
      <c r="F180" s="29">
        <v>3687291.16</v>
      </c>
      <c r="G180" t="str">
        <f t="shared" si="2"/>
        <v>4041</v>
      </c>
    </row>
    <row r="181" spans="1:7" x14ac:dyDescent="0.25">
      <c r="A181" s="26" t="s">
        <v>355</v>
      </c>
      <c r="B181" s="27" t="s">
        <v>879</v>
      </c>
      <c r="C181" s="28">
        <v>8197101.21</v>
      </c>
      <c r="D181" s="28">
        <v>1413309.1</v>
      </c>
      <c r="E181" s="28">
        <v>3274432.57</v>
      </c>
      <c r="F181" s="29">
        <v>3464031.15</v>
      </c>
      <c r="G181" t="str">
        <f t="shared" si="2"/>
        <v>4043</v>
      </c>
    </row>
    <row r="182" spans="1:7" x14ac:dyDescent="0.25">
      <c r="A182" s="26" t="s">
        <v>357</v>
      </c>
      <c r="B182" s="27" t="s">
        <v>880</v>
      </c>
      <c r="C182" s="28">
        <v>6195949.2300000004</v>
      </c>
      <c r="D182" s="28">
        <v>1168981.4099999999</v>
      </c>
      <c r="E182" s="28">
        <v>948505.44</v>
      </c>
      <c r="F182" s="29">
        <v>1414311.78</v>
      </c>
      <c r="G182" t="str">
        <f t="shared" si="2"/>
        <v>4068</v>
      </c>
    </row>
    <row r="183" spans="1:7" x14ac:dyDescent="0.25">
      <c r="A183" s="26" t="s">
        <v>359</v>
      </c>
      <c r="B183" s="27" t="s">
        <v>881</v>
      </c>
      <c r="C183" s="28">
        <v>28642501.870000001</v>
      </c>
      <c r="D183" s="28">
        <v>8178865.1699999999</v>
      </c>
      <c r="E183" s="28">
        <v>6393209.9500000002</v>
      </c>
      <c r="F183" s="29">
        <v>7736614.1100000003</v>
      </c>
      <c r="G183" t="str">
        <f t="shared" si="2"/>
        <v>4086</v>
      </c>
    </row>
    <row r="184" spans="1:7" x14ac:dyDescent="0.25">
      <c r="A184" s="26" t="s">
        <v>361</v>
      </c>
      <c r="B184" s="27" t="s">
        <v>882</v>
      </c>
      <c r="C184" s="28">
        <v>65811934.619999997</v>
      </c>
      <c r="D184" s="28">
        <v>7700460.3600000003</v>
      </c>
      <c r="E184" s="28">
        <v>9456895.9100000001</v>
      </c>
      <c r="F184" s="29">
        <v>11829469.82</v>
      </c>
      <c r="G184" t="str">
        <f t="shared" si="2"/>
        <v>4104</v>
      </c>
    </row>
    <row r="185" spans="1:7" x14ac:dyDescent="0.25">
      <c r="A185" s="26" t="s">
        <v>363</v>
      </c>
      <c r="B185" s="27" t="s">
        <v>883</v>
      </c>
      <c r="C185" s="28">
        <v>6887275.9500000002</v>
      </c>
      <c r="D185" s="28">
        <v>1366667.58</v>
      </c>
      <c r="E185" s="28">
        <v>676505.02</v>
      </c>
      <c r="F185" s="29">
        <v>1317221.33</v>
      </c>
      <c r="G185" t="str">
        <f t="shared" si="2"/>
        <v>4122</v>
      </c>
    </row>
    <row r="186" spans="1:7" x14ac:dyDescent="0.25">
      <c r="A186" s="26" t="s">
        <v>365</v>
      </c>
      <c r="B186" s="27" t="s">
        <v>884</v>
      </c>
      <c r="C186" s="28">
        <v>55337345.109999999</v>
      </c>
      <c r="D186" s="28">
        <v>11451978.210000001</v>
      </c>
      <c r="E186" s="28">
        <v>3001583.28</v>
      </c>
      <c r="F186" s="29">
        <v>3532609.22</v>
      </c>
      <c r="G186" t="str">
        <f t="shared" si="2"/>
        <v>4131</v>
      </c>
    </row>
    <row r="187" spans="1:7" x14ac:dyDescent="0.25">
      <c r="A187" s="26" t="s">
        <v>379</v>
      </c>
      <c r="B187" s="27" t="s">
        <v>885</v>
      </c>
      <c r="C187" s="28">
        <v>17803033.239999998</v>
      </c>
      <c r="D187" s="28">
        <v>2254607.7400000002</v>
      </c>
      <c r="E187" s="28">
        <v>4047523.07</v>
      </c>
      <c r="F187" s="29">
        <v>4298590.76</v>
      </c>
      <c r="G187" t="str">
        <f t="shared" si="2"/>
        <v>4149</v>
      </c>
    </row>
    <row r="188" spans="1:7" x14ac:dyDescent="0.25">
      <c r="A188" s="26" t="s">
        <v>367</v>
      </c>
      <c r="B188" s="27" t="s">
        <v>886</v>
      </c>
      <c r="C188" s="28">
        <v>9989507.4000000004</v>
      </c>
      <c r="D188" s="28">
        <v>2101620.08</v>
      </c>
      <c r="E188" s="28">
        <v>2534933.2000000002</v>
      </c>
      <c r="F188" s="29">
        <v>2934124.47</v>
      </c>
      <c r="G188" t="str">
        <f t="shared" si="2"/>
        <v>4203</v>
      </c>
    </row>
    <row r="189" spans="1:7" x14ac:dyDescent="0.25">
      <c r="A189" s="26" t="s">
        <v>369</v>
      </c>
      <c r="B189" s="27" t="s">
        <v>887</v>
      </c>
      <c r="C189" s="28">
        <v>3989641.2</v>
      </c>
      <c r="D189" s="28">
        <v>697697.95</v>
      </c>
      <c r="E189" s="28">
        <v>1759088.52</v>
      </c>
      <c r="F189" s="29">
        <v>1923125.84</v>
      </c>
      <c r="G189" t="str">
        <f t="shared" si="2"/>
        <v>4212</v>
      </c>
    </row>
    <row r="190" spans="1:7" x14ac:dyDescent="0.25">
      <c r="A190" s="26" t="s">
        <v>373</v>
      </c>
      <c r="B190" s="27" t="s">
        <v>888</v>
      </c>
      <c r="C190" s="28">
        <v>6523450.9400000004</v>
      </c>
      <c r="D190" s="28">
        <v>1505690.81</v>
      </c>
      <c r="E190" s="28">
        <v>2153757.89</v>
      </c>
      <c r="F190" s="29">
        <v>2463477.6</v>
      </c>
      <c r="G190" t="str">
        <f t="shared" si="2"/>
        <v>4269</v>
      </c>
    </row>
    <row r="191" spans="1:7" x14ac:dyDescent="0.25">
      <c r="A191" s="26" t="s">
        <v>375</v>
      </c>
      <c r="B191" s="27" t="s">
        <v>889</v>
      </c>
      <c r="C191" s="28">
        <v>18865947.66</v>
      </c>
      <c r="D191" s="28">
        <v>5523029.2000000002</v>
      </c>
      <c r="E191" s="28">
        <v>3488430.3</v>
      </c>
      <c r="F191" s="29">
        <v>4157004.58</v>
      </c>
      <c r="G191" t="str">
        <f t="shared" si="2"/>
        <v>4271</v>
      </c>
    </row>
    <row r="192" spans="1:7" x14ac:dyDescent="0.25">
      <c r="A192" s="26" t="s">
        <v>377</v>
      </c>
      <c r="B192" s="27" t="s">
        <v>890</v>
      </c>
      <c r="C192" s="28">
        <v>10334861.189999999</v>
      </c>
      <c r="D192" s="28">
        <v>1542227.25</v>
      </c>
      <c r="E192" s="28">
        <v>2166708.0099999998</v>
      </c>
      <c r="F192" s="29">
        <v>2387644.0099999998</v>
      </c>
      <c r="G192" t="str">
        <f t="shared" si="2"/>
        <v>4356</v>
      </c>
    </row>
    <row r="193" spans="1:7" x14ac:dyDescent="0.25">
      <c r="A193" s="26" t="s">
        <v>371</v>
      </c>
      <c r="B193" s="27" t="s">
        <v>891</v>
      </c>
      <c r="C193" s="28">
        <v>9798196.8200000003</v>
      </c>
      <c r="D193" s="28">
        <v>1406391.71</v>
      </c>
      <c r="E193" s="28">
        <v>1760883.07</v>
      </c>
      <c r="F193" s="29">
        <v>2159599.7400000002</v>
      </c>
      <c r="G193" t="str">
        <f t="shared" si="2"/>
        <v>4419</v>
      </c>
    </row>
    <row r="194" spans="1:7" x14ac:dyDescent="0.25">
      <c r="A194" s="26" t="s">
        <v>381</v>
      </c>
      <c r="B194" s="27" t="s">
        <v>892</v>
      </c>
      <c r="C194" s="28">
        <v>5913849.46</v>
      </c>
      <c r="D194" s="28">
        <v>803251.42</v>
      </c>
      <c r="E194" s="28">
        <v>1866512.81</v>
      </c>
      <c r="F194" s="29">
        <v>2122899.2400000002</v>
      </c>
      <c r="G194" t="str">
        <f t="shared" si="2"/>
        <v>4437</v>
      </c>
    </row>
    <row r="195" spans="1:7" x14ac:dyDescent="0.25">
      <c r="A195" s="26" t="s">
        <v>383</v>
      </c>
      <c r="B195" s="27" t="s">
        <v>893</v>
      </c>
      <c r="C195" s="28">
        <v>12281968.23</v>
      </c>
      <c r="D195" s="28">
        <v>1881118.48</v>
      </c>
      <c r="E195" s="28">
        <v>2565198.2599999998</v>
      </c>
      <c r="F195" s="29">
        <v>2986293.79</v>
      </c>
      <c r="G195" t="str">
        <f t="shared" si="2"/>
        <v>4446</v>
      </c>
    </row>
    <row r="196" spans="1:7" x14ac:dyDescent="0.25">
      <c r="A196" s="26" t="s">
        <v>385</v>
      </c>
      <c r="B196" s="27" t="s">
        <v>894</v>
      </c>
      <c r="C196" s="28">
        <v>4724091.18</v>
      </c>
      <c r="D196" s="28">
        <v>1187945.1000000001</v>
      </c>
      <c r="E196" s="28">
        <v>1900967.73</v>
      </c>
      <c r="F196" s="29">
        <v>2097069.76</v>
      </c>
      <c r="G196" t="str">
        <f t="shared" si="2"/>
        <v>4491</v>
      </c>
    </row>
    <row r="197" spans="1:7" x14ac:dyDescent="0.25">
      <c r="A197" s="26" t="s">
        <v>387</v>
      </c>
      <c r="B197" s="27" t="s">
        <v>895</v>
      </c>
      <c r="C197" s="28">
        <v>3761742.11</v>
      </c>
      <c r="D197" s="28">
        <v>576018.68000000005</v>
      </c>
      <c r="E197" s="28">
        <v>334800.17</v>
      </c>
      <c r="F197" s="29">
        <v>426658.22</v>
      </c>
      <c r="G197" t="str">
        <f t="shared" si="2"/>
        <v>4505</v>
      </c>
    </row>
    <row r="198" spans="1:7" x14ac:dyDescent="0.25">
      <c r="A198" s="26" t="s">
        <v>389</v>
      </c>
      <c r="B198" s="27" t="s">
        <v>896</v>
      </c>
      <c r="C198" s="28">
        <v>2489442.98</v>
      </c>
      <c r="D198" s="28">
        <v>420574.02</v>
      </c>
      <c r="E198" s="28">
        <v>1538835.56</v>
      </c>
      <c r="F198" s="29">
        <v>1624115.32</v>
      </c>
      <c r="G198" t="str">
        <f t="shared" ref="G198:G261" si="3">TEXT(A198,"0000")</f>
        <v>4509</v>
      </c>
    </row>
    <row r="199" spans="1:7" x14ac:dyDescent="0.25">
      <c r="A199" s="26" t="s">
        <v>391</v>
      </c>
      <c r="B199" s="27" t="s">
        <v>897</v>
      </c>
      <c r="C199" s="28">
        <v>2978213.09</v>
      </c>
      <c r="D199" s="28">
        <v>633916.51</v>
      </c>
      <c r="E199" s="28">
        <v>728194.61</v>
      </c>
      <c r="F199" s="29">
        <v>1113995.07</v>
      </c>
      <c r="G199" t="str">
        <f t="shared" si="3"/>
        <v>4518</v>
      </c>
    </row>
    <row r="200" spans="1:7" x14ac:dyDescent="0.25">
      <c r="A200" s="26" t="s">
        <v>393</v>
      </c>
      <c r="B200" s="27" t="s">
        <v>898</v>
      </c>
      <c r="C200" s="28">
        <v>8649614.3699999992</v>
      </c>
      <c r="D200" s="28">
        <v>2143569.85</v>
      </c>
      <c r="E200" s="28">
        <v>2195311.2599999998</v>
      </c>
      <c r="F200" s="29">
        <v>2510821.15</v>
      </c>
      <c r="G200" t="str">
        <f t="shared" si="3"/>
        <v>4527</v>
      </c>
    </row>
    <row r="201" spans="1:7" x14ac:dyDescent="0.25">
      <c r="A201" s="26" t="s">
        <v>395</v>
      </c>
      <c r="B201" s="27" t="s">
        <v>899</v>
      </c>
      <c r="C201" s="28">
        <v>23303976.960000001</v>
      </c>
      <c r="D201" s="28">
        <v>3191298.08</v>
      </c>
      <c r="E201" s="28">
        <v>3268883.8</v>
      </c>
      <c r="F201" s="29">
        <v>4252626.88</v>
      </c>
      <c r="G201" t="str">
        <f t="shared" si="3"/>
        <v>4536</v>
      </c>
    </row>
    <row r="202" spans="1:7" x14ac:dyDescent="0.25">
      <c r="A202" s="26" t="s">
        <v>397</v>
      </c>
      <c r="B202" s="27" t="s">
        <v>900</v>
      </c>
      <c r="C202" s="28">
        <v>15749275.76</v>
      </c>
      <c r="D202" s="28">
        <v>3895106.59</v>
      </c>
      <c r="E202" s="28">
        <v>2384832.66</v>
      </c>
      <c r="F202" s="29">
        <v>2717584.78</v>
      </c>
      <c r="G202" t="str">
        <f t="shared" si="3"/>
        <v>4554</v>
      </c>
    </row>
    <row r="203" spans="1:7" x14ac:dyDescent="0.25">
      <c r="A203" s="26" t="s">
        <v>399</v>
      </c>
      <c r="B203" s="27" t="s">
        <v>901</v>
      </c>
      <c r="C203" s="28">
        <v>3593299.46</v>
      </c>
      <c r="D203" s="28">
        <v>825233.64</v>
      </c>
      <c r="E203" s="28">
        <v>1665988.93</v>
      </c>
      <c r="F203" s="29">
        <v>1984884.58</v>
      </c>
      <c r="G203" t="str">
        <f t="shared" si="3"/>
        <v>4572</v>
      </c>
    </row>
    <row r="204" spans="1:7" x14ac:dyDescent="0.25">
      <c r="A204" s="26" t="s">
        <v>401</v>
      </c>
      <c r="B204" s="27" t="s">
        <v>902</v>
      </c>
      <c r="C204" s="28">
        <v>56665069.840000004</v>
      </c>
      <c r="D204" s="28">
        <v>5008886.3</v>
      </c>
      <c r="E204" s="28">
        <v>10370242.67</v>
      </c>
      <c r="F204" s="29">
        <v>10892432.439999999</v>
      </c>
      <c r="G204" t="str">
        <f t="shared" si="3"/>
        <v>4581</v>
      </c>
    </row>
    <row r="205" spans="1:7" x14ac:dyDescent="0.25">
      <c r="A205" s="26" t="s">
        <v>403</v>
      </c>
      <c r="B205" s="27" t="s">
        <v>903</v>
      </c>
      <c r="C205" s="28">
        <v>7182966.5</v>
      </c>
      <c r="D205" s="28">
        <v>903986.24</v>
      </c>
      <c r="E205" s="28">
        <v>2161402.58</v>
      </c>
      <c r="F205" s="29">
        <v>2309864.2200000002</v>
      </c>
      <c r="G205" t="str">
        <f t="shared" si="3"/>
        <v>4599</v>
      </c>
    </row>
    <row r="206" spans="1:7" x14ac:dyDescent="0.25">
      <c r="A206" s="26" t="s">
        <v>405</v>
      </c>
      <c r="B206" s="27" t="s">
        <v>904</v>
      </c>
      <c r="C206" s="28">
        <v>18839413.59</v>
      </c>
      <c r="D206" s="28">
        <v>2825192.69</v>
      </c>
      <c r="E206" s="28">
        <v>3000400.08</v>
      </c>
      <c r="F206" s="29">
        <v>3794613.88</v>
      </c>
      <c r="G206" t="str">
        <f t="shared" si="3"/>
        <v>4617</v>
      </c>
    </row>
    <row r="207" spans="1:7" x14ac:dyDescent="0.25">
      <c r="A207" s="26" t="s">
        <v>411</v>
      </c>
      <c r="B207" s="27" t="s">
        <v>905</v>
      </c>
      <c r="C207" s="28">
        <v>6640015.96</v>
      </c>
      <c r="D207" s="28">
        <v>1390212.59</v>
      </c>
      <c r="E207" s="28">
        <v>394070.96</v>
      </c>
      <c r="F207" s="29">
        <v>589238.26</v>
      </c>
      <c r="G207" t="str">
        <f t="shared" si="3"/>
        <v>4644</v>
      </c>
    </row>
    <row r="208" spans="1:7" x14ac:dyDescent="0.25">
      <c r="A208" s="26" t="s">
        <v>407</v>
      </c>
      <c r="B208" s="27" t="s">
        <v>906</v>
      </c>
      <c r="C208" s="28">
        <v>11911365.59</v>
      </c>
      <c r="D208" s="28">
        <v>1899575.69</v>
      </c>
      <c r="E208" s="28">
        <v>2635442.8199999998</v>
      </c>
      <c r="F208" s="29">
        <v>2965285.93</v>
      </c>
      <c r="G208" t="str">
        <f t="shared" si="3"/>
        <v>4662</v>
      </c>
    </row>
    <row r="209" spans="1:7" x14ac:dyDescent="0.25">
      <c r="A209" s="26" t="s">
        <v>409</v>
      </c>
      <c r="B209" s="27" t="s">
        <v>907</v>
      </c>
      <c r="C209" s="28">
        <v>6512452.4400000004</v>
      </c>
      <c r="D209" s="28">
        <v>1300292.79</v>
      </c>
      <c r="E209" s="28">
        <v>946648.88</v>
      </c>
      <c r="F209" s="29">
        <v>1338748.8500000001</v>
      </c>
      <c r="G209" t="str">
        <f t="shared" si="3"/>
        <v>4689</v>
      </c>
    </row>
    <row r="210" spans="1:7" x14ac:dyDescent="0.25">
      <c r="A210" s="26" t="s">
        <v>413</v>
      </c>
      <c r="B210" s="27" t="s">
        <v>908</v>
      </c>
      <c r="C210" s="28">
        <v>34595678.850000001</v>
      </c>
      <c r="D210" s="28">
        <v>3921821.32</v>
      </c>
      <c r="E210" s="28">
        <v>4205363.4400000004</v>
      </c>
      <c r="F210" s="29">
        <v>4827908.51</v>
      </c>
      <c r="G210" t="str">
        <f t="shared" si="3"/>
        <v>4725</v>
      </c>
    </row>
    <row r="211" spans="1:7" x14ac:dyDescent="0.25">
      <c r="A211" s="26" t="s">
        <v>116</v>
      </c>
      <c r="B211" s="27" t="s">
        <v>909</v>
      </c>
      <c r="C211" s="28">
        <v>10323086.619999999</v>
      </c>
      <c r="D211" s="28">
        <v>2333783.21</v>
      </c>
      <c r="E211" s="28">
        <v>2447214.35</v>
      </c>
      <c r="F211" s="29">
        <v>2994001.19</v>
      </c>
      <c r="G211" t="str">
        <f t="shared" si="3"/>
        <v>4772</v>
      </c>
    </row>
    <row r="212" spans="1:7" x14ac:dyDescent="0.25">
      <c r="A212" s="26" t="s">
        <v>439</v>
      </c>
      <c r="B212" s="27" t="s">
        <v>910</v>
      </c>
      <c r="C212" s="28">
        <v>10182210.890000001</v>
      </c>
      <c r="D212" s="28">
        <v>3948365.75</v>
      </c>
      <c r="E212" s="28">
        <v>342068.47</v>
      </c>
      <c r="F212" s="29">
        <v>1141676.43</v>
      </c>
      <c r="G212" t="str">
        <f t="shared" si="3"/>
        <v>4773</v>
      </c>
    </row>
    <row r="213" spans="1:7" x14ac:dyDescent="0.25">
      <c r="A213" s="26" t="s">
        <v>421</v>
      </c>
      <c r="B213" s="27" t="s">
        <v>911</v>
      </c>
      <c r="C213" s="28">
        <v>15474090.43</v>
      </c>
      <c r="D213" s="28">
        <v>1837890.8</v>
      </c>
      <c r="E213" s="28">
        <v>203831.59</v>
      </c>
      <c r="F213" s="29">
        <v>979675.5</v>
      </c>
      <c r="G213" t="str">
        <f t="shared" si="3"/>
        <v>4774</v>
      </c>
    </row>
    <row r="214" spans="1:7" x14ac:dyDescent="0.25">
      <c r="A214" s="26" t="s">
        <v>429</v>
      </c>
      <c r="B214" s="27" t="s">
        <v>912</v>
      </c>
      <c r="C214" s="28">
        <v>6740544.7199999997</v>
      </c>
      <c r="D214" s="28">
        <v>1406603.61</v>
      </c>
      <c r="E214" s="28">
        <v>1899255.08</v>
      </c>
      <c r="F214" s="29">
        <v>2475954.1</v>
      </c>
      <c r="G214" t="str">
        <f t="shared" si="3"/>
        <v>4776</v>
      </c>
    </row>
    <row r="215" spans="1:7" x14ac:dyDescent="0.25">
      <c r="A215" s="26" t="s">
        <v>427</v>
      </c>
      <c r="B215" s="27" t="s">
        <v>913</v>
      </c>
      <c r="C215" s="28">
        <v>6861484.1500000004</v>
      </c>
      <c r="D215" s="28">
        <v>832912.24</v>
      </c>
      <c r="E215" s="28">
        <v>3953484.04</v>
      </c>
      <c r="F215" s="29">
        <v>4269683</v>
      </c>
      <c r="G215" t="str">
        <f t="shared" si="3"/>
        <v>4777</v>
      </c>
    </row>
    <row r="216" spans="1:7" x14ac:dyDescent="0.25">
      <c r="A216" s="26" t="s">
        <v>425</v>
      </c>
      <c r="B216" s="27" t="s">
        <v>914</v>
      </c>
      <c r="C216" s="28">
        <v>4868343.79</v>
      </c>
      <c r="D216" s="28">
        <v>2021935.27</v>
      </c>
      <c r="E216" s="28">
        <v>1872462.88</v>
      </c>
      <c r="F216" s="29">
        <v>1967034.3</v>
      </c>
      <c r="G216" t="str">
        <f t="shared" si="3"/>
        <v>4778</v>
      </c>
    </row>
    <row r="217" spans="1:7" x14ac:dyDescent="0.25">
      <c r="A217" s="26" t="s">
        <v>431</v>
      </c>
      <c r="B217" s="27" t="s">
        <v>915</v>
      </c>
      <c r="C217" s="28">
        <v>21516259.149999999</v>
      </c>
      <c r="D217" s="28">
        <v>1689651.45</v>
      </c>
      <c r="E217" s="28">
        <v>1607022.04</v>
      </c>
      <c r="F217" s="29">
        <v>1934616.32</v>
      </c>
      <c r="G217" t="str">
        <f t="shared" si="3"/>
        <v>4779</v>
      </c>
    </row>
    <row r="218" spans="1:7" x14ac:dyDescent="0.25">
      <c r="A218" s="26" t="s">
        <v>433</v>
      </c>
      <c r="B218" s="27" t="s">
        <v>916</v>
      </c>
      <c r="C218" s="28">
        <v>35191613.259999998</v>
      </c>
      <c r="D218" s="28">
        <v>3580801.08</v>
      </c>
      <c r="E218" s="28">
        <v>7746502.8600000003</v>
      </c>
      <c r="F218" s="29">
        <v>9060522.5800000001</v>
      </c>
      <c r="G218" t="str">
        <f t="shared" si="3"/>
        <v>4784</v>
      </c>
    </row>
    <row r="219" spans="1:7" x14ac:dyDescent="0.25">
      <c r="A219" s="26" t="s">
        <v>435</v>
      </c>
      <c r="B219" s="27" t="s">
        <v>917</v>
      </c>
      <c r="C219" s="28">
        <v>5798738.2699999996</v>
      </c>
      <c r="D219" s="28">
        <v>1098559.9099999999</v>
      </c>
      <c r="E219" s="28">
        <v>1751150.79</v>
      </c>
      <c r="F219" s="29">
        <v>2327362.13</v>
      </c>
      <c r="G219" t="str">
        <f t="shared" si="3"/>
        <v>4785</v>
      </c>
    </row>
    <row r="220" spans="1:7" x14ac:dyDescent="0.25">
      <c r="A220" s="26" t="s">
        <v>442</v>
      </c>
      <c r="B220" s="27" t="s">
        <v>918</v>
      </c>
      <c r="C220" s="28">
        <v>6748962.7300000004</v>
      </c>
      <c r="D220" s="28">
        <v>1332694.8</v>
      </c>
      <c r="E220" s="28">
        <v>1656810.58</v>
      </c>
      <c r="F220" s="29">
        <v>2042321.85</v>
      </c>
      <c r="G220" t="str">
        <f t="shared" si="3"/>
        <v>4788</v>
      </c>
    </row>
    <row r="221" spans="1:7" x14ac:dyDescent="0.25">
      <c r="A221" s="26" t="s">
        <v>444</v>
      </c>
      <c r="B221" s="27" t="s">
        <v>919</v>
      </c>
      <c r="C221" s="28">
        <v>34621741.740000002</v>
      </c>
      <c r="D221" s="28">
        <v>3874378.07</v>
      </c>
      <c r="E221" s="28">
        <v>7240603.8300000001</v>
      </c>
      <c r="F221" s="29">
        <v>9651174.1699999999</v>
      </c>
      <c r="G221" t="str">
        <f t="shared" si="3"/>
        <v>4797</v>
      </c>
    </row>
    <row r="222" spans="1:7" ht="30" x14ac:dyDescent="0.25">
      <c r="A222" s="26" t="s">
        <v>446</v>
      </c>
      <c r="B222" s="27" t="s">
        <v>920</v>
      </c>
      <c r="C222" s="28">
        <v>11473441.34</v>
      </c>
      <c r="D222" s="28">
        <v>1454937.98</v>
      </c>
      <c r="E222" s="28">
        <v>2802483.72</v>
      </c>
      <c r="F222" s="29">
        <v>3337284.66</v>
      </c>
      <c r="G222" t="str">
        <f t="shared" si="3"/>
        <v>4860</v>
      </c>
    </row>
    <row r="223" spans="1:7" x14ac:dyDescent="0.25">
      <c r="A223" s="26" t="s">
        <v>448</v>
      </c>
      <c r="B223" s="27" t="s">
        <v>921</v>
      </c>
      <c r="C223" s="28">
        <v>17585046.640000001</v>
      </c>
      <c r="D223" s="28">
        <v>2989170.49</v>
      </c>
      <c r="E223" s="28">
        <v>2103865.4700000002</v>
      </c>
      <c r="F223" s="29">
        <v>2648173.31</v>
      </c>
      <c r="G223" t="str">
        <f t="shared" si="3"/>
        <v>4869</v>
      </c>
    </row>
    <row r="224" spans="1:7" x14ac:dyDescent="0.25">
      <c r="A224" s="26" t="s">
        <v>450</v>
      </c>
      <c r="B224" s="27" t="s">
        <v>922</v>
      </c>
      <c r="C224" s="28">
        <v>8009812.6200000001</v>
      </c>
      <c r="D224" s="28">
        <v>1771558.59</v>
      </c>
      <c r="E224" s="28">
        <v>2945641.94</v>
      </c>
      <c r="F224" s="29">
        <v>3255908.62</v>
      </c>
      <c r="G224" t="str">
        <f t="shared" si="3"/>
        <v>4878</v>
      </c>
    </row>
    <row r="225" spans="1:7" x14ac:dyDescent="0.25">
      <c r="A225" s="26" t="s">
        <v>452</v>
      </c>
      <c r="B225" s="27" t="s">
        <v>923</v>
      </c>
      <c r="C225" s="28">
        <v>13727054.880000001</v>
      </c>
      <c r="D225" s="28">
        <v>2920070.11</v>
      </c>
      <c r="E225" s="28">
        <v>3567324.12</v>
      </c>
      <c r="F225" s="29">
        <v>4011706.24</v>
      </c>
      <c r="G225" t="str">
        <f t="shared" si="3"/>
        <v>4890</v>
      </c>
    </row>
    <row r="226" spans="1:7" x14ac:dyDescent="0.25">
      <c r="A226" s="26" t="s">
        <v>454</v>
      </c>
      <c r="B226" s="27" t="s">
        <v>924</v>
      </c>
      <c r="C226" s="28">
        <v>2440772.9700000002</v>
      </c>
      <c r="D226" s="28">
        <v>429523.33</v>
      </c>
      <c r="E226" s="28">
        <v>2244221.9500000002</v>
      </c>
      <c r="F226" s="29">
        <v>2608142.7400000002</v>
      </c>
      <c r="G226" t="str">
        <f t="shared" si="3"/>
        <v>4905</v>
      </c>
    </row>
    <row r="227" spans="1:7" x14ac:dyDescent="0.25">
      <c r="A227" s="26" t="s">
        <v>456</v>
      </c>
      <c r="B227" s="27" t="s">
        <v>925</v>
      </c>
      <c r="C227" s="28">
        <v>3132935.48</v>
      </c>
      <c r="D227" s="28">
        <v>770482.12</v>
      </c>
      <c r="E227" s="28">
        <v>163853.21</v>
      </c>
      <c r="F227" s="29">
        <v>406558.16</v>
      </c>
      <c r="G227" t="str">
        <f t="shared" si="3"/>
        <v>4978</v>
      </c>
    </row>
    <row r="228" spans="1:7" x14ac:dyDescent="0.25">
      <c r="A228" s="26" t="s">
        <v>458</v>
      </c>
      <c r="B228" s="27" t="s">
        <v>926</v>
      </c>
      <c r="C228" s="28">
        <v>10976491.460000001</v>
      </c>
      <c r="D228" s="28">
        <v>1787853.64</v>
      </c>
      <c r="E228" s="28">
        <v>2704125.35</v>
      </c>
      <c r="F228" s="29">
        <v>3227077.76</v>
      </c>
      <c r="G228" t="str">
        <f t="shared" si="3"/>
        <v>4995</v>
      </c>
    </row>
    <row r="229" spans="1:7" x14ac:dyDescent="0.25">
      <c r="A229" s="26" t="s">
        <v>460</v>
      </c>
      <c r="B229" s="27" t="s">
        <v>927</v>
      </c>
      <c r="C229" s="28">
        <v>27321004.07</v>
      </c>
      <c r="D229" s="28">
        <v>3817749.49</v>
      </c>
      <c r="E229" s="28">
        <v>4092035.76</v>
      </c>
      <c r="F229" s="29">
        <v>5061503.18</v>
      </c>
      <c r="G229" t="str">
        <f t="shared" si="3"/>
        <v>5013</v>
      </c>
    </row>
    <row r="230" spans="1:7" x14ac:dyDescent="0.25">
      <c r="A230" s="26" t="s">
        <v>462</v>
      </c>
      <c r="B230" s="27" t="s">
        <v>928</v>
      </c>
      <c r="C230" s="28">
        <v>54878586.140000001</v>
      </c>
      <c r="D230" s="28">
        <v>6976997.1600000001</v>
      </c>
      <c r="E230" s="28">
        <v>13574423.52</v>
      </c>
      <c r="F230" s="29">
        <v>16006143.279999999</v>
      </c>
      <c r="G230" t="str">
        <f t="shared" si="3"/>
        <v>5049</v>
      </c>
    </row>
    <row r="231" spans="1:7" x14ac:dyDescent="0.25">
      <c r="A231" s="26" t="s">
        <v>464</v>
      </c>
      <c r="B231" s="27" t="s">
        <v>929</v>
      </c>
      <c r="C231" s="28">
        <v>8627473.4800000004</v>
      </c>
      <c r="D231" s="28">
        <v>1068270.06</v>
      </c>
      <c r="E231" s="28">
        <v>1955947.81</v>
      </c>
      <c r="F231" s="29">
        <v>2046188.23</v>
      </c>
      <c r="G231" t="str">
        <f t="shared" si="3"/>
        <v>5121</v>
      </c>
    </row>
    <row r="232" spans="1:7" x14ac:dyDescent="0.25">
      <c r="A232" s="26" t="s">
        <v>466</v>
      </c>
      <c r="B232" s="27" t="s">
        <v>930</v>
      </c>
      <c r="C232" s="28">
        <v>3126800.22</v>
      </c>
      <c r="D232" s="28">
        <v>721632.24</v>
      </c>
      <c r="E232" s="28">
        <v>841527.49</v>
      </c>
      <c r="F232" s="29">
        <v>1201069.1200000001</v>
      </c>
      <c r="G232" t="str">
        <f t="shared" si="3"/>
        <v>5139</v>
      </c>
    </row>
    <row r="233" spans="1:7" x14ac:dyDescent="0.25">
      <c r="A233" s="26" t="s">
        <v>469</v>
      </c>
      <c r="B233" s="27" t="s">
        <v>931</v>
      </c>
      <c r="C233" s="28">
        <v>11847289.16</v>
      </c>
      <c r="D233" s="28">
        <v>1574762.88</v>
      </c>
      <c r="E233" s="28">
        <v>3225624.86</v>
      </c>
      <c r="F233" s="29">
        <v>3663085.91</v>
      </c>
      <c r="G233" t="str">
        <f t="shared" si="3"/>
        <v>5160</v>
      </c>
    </row>
    <row r="234" spans="1:7" x14ac:dyDescent="0.25">
      <c r="A234" s="26" t="s">
        <v>471</v>
      </c>
      <c r="B234" s="27" t="s">
        <v>932</v>
      </c>
      <c r="C234" s="28">
        <v>8877571.4700000007</v>
      </c>
      <c r="D234" s="28">
        <v>2261858.89</v>
      </c>
      <c r="E234" s="28">
        <v>1668189.73</v>
      </c>
      <c r="F234" s="29">
        <v>2068587.96</v>
      </c>
      <c r="G234" t="str">
        <f t="shared" si="3"/>
        <v>5163</v>
      </c>
    </row>
    <row r="235" spans="1:7" x14ac:dyDescent="0.25">
      <c r="A235" s="26" t="s">
        <v>473</v>
      </c>
      <c r="B235" s="27" t="s">
        <v>933</v>
      </c>
      <c r="C235" s="28">
        <v>27746911.420000002</v>
      </c>
      <c r="D235" s="28">
        <v>4004282.2</v>
      </c>
      <c r="E235" s="28">
        <v>4869995.47</v>
      </c>
      <c r="F235" s="29">
        <v>5483296.3399999999</v>
      </c>
      <c r="G235" t="str">
        <f t="shared" si="3"/>
        <v>5166</v>
      </c>
    </row>
    <row r="236" spans="1:7" x14ac:dyDescent="0.25">
      <c r="A236" s="26" t="s">
        <v>475</v>
      </c>
      <c r="B236" s="27" t="s">
        <v>934</v>
      </c>
      <c r="C236" s="28">
        <v>23769278.050000001</v>
      </c>
      <c r="D236" s="28">
        <v>4418768.34</v>
      </c>
      <c r="E236" s="28">
        <v>3917423.87</v>
      </c>
      <c r="F236" s="29">
        <v>4372257.95</v>
      </c>
      <c r="G236" t="str">
        <f t="shared" si="3"/>
        <v>5184</v>
      </c>
    </row>
    <row r="237" spans="1:7" x14ac:dyDescent="0.25">
      <c r="A237" s="26" t="s">
        <v>477</v>
      </c>
      <c r="B237" s="27" t="s">
        <v>935</v>
      </c>
      <c r="C237" s="28">
        <v>55985266.600000001</v>
      </c>
      <c r="D237" s="28">
        <v>4993585.92</v>
      </c>
      <c r="E237" s="28">
        <v>10083358.869999999</v>
      </c>
      <c r="F237" s="29">
        <v>11337515.98</v>
      </c>
      <c r="G237" t="str">
        <f t="shared" si="3"/>
        <v>5250</v>
      </c>
    </row>
    <row r="238" spans="1:7" x14ac:dyDescent="0.25">
      <c r="A238" s="26" t="s">
        <v>479</v>
      </c>
      <c r="B238" s="27" t="s">
        <v>936</v>
      </c>
      <c r="C238" s="28">
        <v>8380446.0599999996</v>
      </c>
      <c r="D238" s="28">
        <v>1240439.46</v>
      </c>
      <c r="E238" s="28">
        <v>2151445.66</v>
      </c>
      <c r="F238" s="29">
        <v>2151445.66</v>
      </c>
      <c r="G238" t="str">
        <f t="shared" si="3"/>
        <v>5256</v>
      </c>
    </row>
    <row r="239" spans="1:7" x14ac:dyDescent="0.25">
      <c r="A239" s="26" t="s">
        <v>481</v>
      </c>
      <c r="B239" s="27" t="s">
        <v>937</v>
      </c>
      <c r="C239" s="28">
        <v>9582435.2300000004</v>
      </c>
      <c r="D239" s="28">
        <v>2228624.27</v>
      </c>
      <c r="E239" s="28">
        <v>907059.96</v>
      </c>
      <c r="F239" s="29">
        <v>1178021.3500000001</v>
      </c>
      <c r="G239" t="str">
        <f t="shared" si="3"/>
        <v>5283</v>
      </c>
    </row>
    <row r="240" spans="1:7" x14ac:dyDescent="0.25">
      <c r="A240" s="26" t="s">
        <v>483</v>
      </c>
      <c r="B240" s="27" t="s">
        <v>938</v>
      </c>
      <c r="C240" s="28">
        <v>9929205.3599999994</v>
      </c>
      <c r="D240" s="28">
        <v>1811003</v>
      </c>
      <c r="E240" s="28">
        <v>711400.12</v>
      </c>
      <c r="F240" s="29">
        <v>1263033.78</v>
      </c>
      <c r="G240" t="str">
        <f t="shared" si="3"/>
        <v>5310</v>
      </c>
    </row>
    <row r="241" spans="1:7" x14ac:dyDescent="0.25">
      <c r="A241" s="26" t="s">
        <v>486</v>
      </c>
      <c r="B241" s="27" t="s">
        <v>939</v>
      </c>
      <c r="C241" s="28">
        <v>8871484.3100000005</v>
      </c>
      <c r="D241" s="28">
        <v>3127473.26</v>
      </c>
      <c r="E241" s="28">
        <v>4066586.69</v>
      </c>
      <c r="F241" s="29">
        <v>4243098.6100000003</v>
      </c>
      <c r="G241" t="str">
        <f t="shared" si="3"/>
        <v>5325</v>
      </c>
    </row>
    <row r="242" spans="1:7" x14ac:dyDescent="0.25">
      <c r="A242" s="26" t="s">
        <v>488</v>
      </c>
      <c r="B242" s="27" t="s">
        <v>940</v>
      </c>
      <c r="C242" s="28">
        <v>13080364.789999999</v>
      </c>
      <c r="D242" s="28">
        <v>2349432.61</v>
      </c>
      <c r="E242" s="28">
        <v>2892862.41</v>
      </c>
      <c r="F242" s="29">
        <v>3738176.33</v>
      </c>
      <c r="G242" t="str">
        <f t="shared" si="3"/>
        <v>5463</v>
      </c>
    </row>
    <row r="243" spans="1:7" x14ac:dyDescent="0.25">
      <c r="A243" s="26" t="s">
        <v>490</v>
      </c>
      <c r="B243" s="27" t="s">
        <v>941</v>
      </c>
      <c r="C243" s="28">
        <v>5219062.4800000004</v>
      </c>
      <c r="D243" s="28">
        <v>1481018.55</v>
      </c>
      <c r="E243" s="28">
        <v>1889360.74</v>
      </c>
      <c r="F243" s="29">
        <v>2138077.11</v>
      </c>
      <c r="G243" t="str">
        <f t="shared" si="3"/>
        <v>5486</v>
      </c>
    </row>
    <row r="244" spans="1:7" x14ac:dyDescent="0.25">
      <c r="A244" s="26" t="s">
        <v>492</v>
      </c>
      <c r="B244" s="27" t="s">
        <v>942</v>
      </c>
      <c r="C244" s="28">
        <v>4786747.8899999997</v>
      </c>
      <c r="D244" s="28">
        <v>1614648.72</v>
      </c>
      <c r="E244" s="28">
        <v>1471158.41</v>
      </c>
      <c r="F244" s="29">
        <v>1591482.32</v>
      </c>
      <c r="G244" t="str">
        <f t="shared" si="3"/>
        <v>5508</v>
      </c>
    </row>
    <row r="245" spans="1:7" x14ac:dyDescent="0.25">
      <c r="A245" s="26" t="s">
        <v>497</v>
      </c>
      <c r="B245" s="27" t="s">
        <v>943</v>
      </c>
      <c r="C245" s="28">
        <v>9291290.0399999991</v>
      </c>
      <c r="D245" s="28">
        <v>1398681.46</v>
      </c>
      <c r="E245" s="28">
        <v>662049.5</v>
      </c>
      <c r="F245" s="29">
        <v>875571.83</v>
      </c>
      <c r="G245" t="str">
        <f t="shared" si="3"/>
        <v>5510</v>
      </c>
    </row>
    <row r="246" spans="1:7" x14ac:dyDescent="0.25">
      <c r="A246" s="26" t="s">
        <v>499</v>
      </c>
      <c r="B246" s="27" t="s">
        <v>944</v>
      </c>
      <c r="C246" s="28">
        <v>10835529.710000001</v>
      </c>
      <c r="D246" s="28">
        <v>1961552.79</v>
      </c>
      <c r="E246" s="28">
        <v>3561571.66</v>
      </c>
      <c r="F246" s="29">
        <v>3936607.7</v>
      </c>
      <c r="G246" t="str">
        <f t="shared" si="3"/>
        <v>5607</v>
      </c>
    </row>
    <row r="247" spans="1:7" x14ac:dyDescent="0.25">
      <c r="A247" s="26" t="s">
        <v>501</v>
      </c>
      <c r="B247" s="27" t="s">
        <v>945</v>
      </c>
      <c r="C247" s="28">
        <v>12076595.039999999</v>
      </c>
      <c r="D247" s="28">
        <v>1743945.16</v>
      </c>
      <c r="E247" s="28">
        <v>2608995.14</v>
      </c>
      <c r="F247" s="29">
        <v>3101380.66</v>
      </c>
      <c r="G247" t="str">
        <f t="shared" si="3"/>
        <v>5643</v>
      </c>
    </row>
    <row r="248" spans="1:7" x14ac:dyDescent="0.25">
      <c r="A248" s="26" t="s">
        <v>503</v>
      </c>
      <c r="B248" s="27" t="s">
        <v>946</v>
      </c>
      <c r="C248" s="28">
        <v>5469197.1799999997</v>
      </c>
      <c r="D248" s="28">
        <v>968340.2</v>
      </c>
      <c r="E248" s="28">
        <v>933753.43</v>
      </c>
      <c r="F248" s="29">
        <v>1049997.8700000001</v>
      </c>
      <c r="G248" t="str">
        <f t="shared" si="3"/>
        <v>5697</v>
      </c>
    </row>
    <row r="249" spans="1:7" x14ac:dyDescent="0.25">
      <c r="A249" s="26" t="s">
        <v>505</v>
      </c>
      <c r="B249" s="27" t="s">
        <v>947</v>
      </c>
      <c r="C249" s="28">
        <v>3636457.4</v>
      </c>
      <c r="D249" s="28">
        <v>880156.73</v>
      </c>
      <c r="E249" s="28">
        <v>858709.63</v>
      </c>
      <c r="F249" s="29">
        <v>1142904.3400000001</v>
      </c>
      <c r="G249" t="str">
        <f t="shared" si="3"/>
        <v>5724</v>
      </c>
    </row>
    <row r="250" spans="1:7" x14ac:dyDescent="0.25">
      <c r="A250" s="26" t="s">
        <v>561</v>
      </c>
      <c r="B250" s="27" t="s">
        <v>948</v>
      </c>
      <c r="C250" s="28">
        <v>7446219.04</v>
      </c>
      <c r="D250" s="28">
        <v>1225586.8700000001</v>
      </c>
      <c r="E250" s="28">
        <v>973532.26</v>
      </c>
      <c r="F250" s="29">
        <v>1421697.48</v>
      </c>
      <c r="G250" t="str">
        <f t="shared" si="3"/>
        <v>5751</v>
      </c>
    </row>
    <row r="251" spans="1:7" x14ac:dyDescent="0.25">
      <c r="A251" s="26" t="s">
        <v>507</v>
      </c>
      <c r="B251" s="27" t="s">
        <v>949</v>
      </c>
      <c r="C251" s="28">
        <v>18917538.050000001</v>
      </c>
      <c r="D251" s="28">
        <v>4964614.22</v>
      </c>
      <c r="E251" s="28">
        <v>430584.97</v>
      </c>
      <c r="F251" s="29">
        <v>4775814.79</v>
      </c>
      <c r="G251" t="str">
        <f t="shared" si="3"/>
        <v>5805</v>
      </c>
    </row>
    <row r="252" spans="1:7" x14ac:dyDescent="0.25">
      <c r="A252" s="26" t="s">
        <v>509</v>
      </c>
      <c r="B252" s="27" t="s">
        <v>950</v>
      </c>
      <c r="C252" s="28">
        <v>5453843.7599999998</v>
      </c>
      <c r="D252" s="28">
        <v>1569741.9</v>
      </c>
      <c r="E252" s="28">
        <v>1593975.97</v>
      </c>
      <c r="F252" s="29">
        <v>2070249.46</v>
      </c>
      <c r="G252" t="str">
        <f t="shared" si="3"/>
        <v>5823</v>
      </c>
    </row>
    <row r="253" spans="1:7" x14ac:dyDescent="0.25">
      <c r="A253" s="26" t="s">
        <v>511</v>
      </c>
      <c r="B253" s="27" t="s">
        <v>951</v>
      </c>
      <c r="C253" s="28">
        <v>3545974.25</v>
      </c>
      <c r="D253" s="28">
        <v>770046.12</v>
      </c>
      <c r="E253" s="28">
        <v>1400822.31</v>
      </c>
      <c r="F253" s="29">
        <v>1670651.63</v>
      </c>
      <c r="G253" t="str">
        <f t="shared" si="3"/>
        <v>5832</v>
      </c>
    </row>
    <row r="254" spans="1:7" x14ac:dyDescent="0.25">
      <c r="A254" s="26" t="s">
        <v>513</v>
      </c>
      <c r="B254" s="27" t="s">
        <v>952</v>
      </c>
      <c r="C254" s="28">
        <v>19344998.27</v>
      </c>
      <c r="D254" s="28">
        <v>4323554.13</v>
      </c>
      <c r="E254" s="28">
        <v>4349732.37</v>
      </c>
      <c r="F254" s="29">
        <v>4644563.4400000004</v>
      </c>
      <c r="G254" t="str">
        <f t="shared" si="3"/>
        <v>5877</v>
      </c>
    </row>
    <row r="255" spans="1:7" x14ac:dyDescent="0.25">
      <c r="A255" s="26" t="s">
        <v>515</v>
      </c>
      <c r="B255" s="27" t="s">
        <v>953</v>
      </c>
      <c r="C255" s="28">
        <v>3926721.44</v>
      </c>
      <c r="D255" s="28">
        <v>1179372.75</v>
      </c>
      <c r="E255" s="28">
        <v>1526399.45</v>
      </c>
      <c r="F255" s="29">
        <v>1585306.76</v>
      </c>
      <c r="G255" t="str">
        <f t="shared" si="3"/>
        <v>5895</v>
      </c>
    </row>
    <row r="256" spans="1:7" x14ac:dyDescent="0.25">
      <c r="A256" s="26" t="s">
        <v>637</v>
      </c>
      <c r="B256" s="27" t="s">
        <v>954</v>
      </c>
      <c r="C256" s="28">
        <v>8788417.6400000006</v>
      </c>
      <c r="D256" s="28">
        <v>1113428.54</v>
      </c>
      <c r="E256" s="28">
        <v>1103567.03</v>
      </c>
      <c r="F256" s="29">
        <v>1328188.19</v>
      </c>
      <c r="G256" t="str">
        <f t="shared" si="3"/>
        <v>5922</v>
      </c>
    </row>
    <row r="257" spans="1:7" x14ac:dyDescent="0.25">
      <c r="A257" s="26" t="s">
        <v>517</v>
      </c>
      <c r="B257" s="27" t="s">
        <v>955</v>
      </c>
      <c r="C257" s="28">
        <v>13048877.029999999</v>
      </c>
      <c r="D257" s="28">
        <v>2026962.77</v>
      </c>
      <c r="E257" s="28">
        <v>4486533.72</v>
      </c>
      <c r="F257" s="29">
        <v>4754507.99</v>
      </c>
      <c r="G257" t="str">
        <f t="shared" si="3"/>
        <v>5949</v>
      </c>
    </row>
    <row r="258" spans="1:7" x14ac:dyDescent="0.25">
      <c r="A258" s="26" t="s">
        <v>519</v>
      </c>
      <c r="B258" s="27" t="s">
        <v>956</v>
      </c>
      <c r="C258" s="28">
        <v>13715046.560000001</v>
      </c>
      <c r="D258" s="28">
        <v>2045279.48</v>
      </c>
      <c r="E258" s="28">
        <v>2404683.94</v>
      </c>
      <c r="F258" s="29">
        <v>2553382.56</v>
      </c>
      <c r="G258" t="str">
        <f t="shared" si="3"/>
        <v>5976</v>
      </c>
    </row>
    <row r="259" spans="1:7" x14ac:dyDescent="0.25">
      <c r="A259" s="26" t="s">
        <v>521</v>
      </c>
      <c r="B259" s="27" t="s">
        <v>957</v>
      </c>
      <c r="C259" s="28">
        <v>8801049.2200000007</v>
      </c>
      <c r="D259" s="28">
        <v>1516534.24</v>
      </c>
      <c r="E259" s="28">
        <v>3751846.81</v>
      </c>
      <c r="F259" s="29">
        <v>4163901.7</v>
      </c>
      <c r="G259" t="str">
        <f t="shared" si="3"/>
        <v>5994</v>
      </c>
    </row>
    <row r="260" spans="1:7" x14ac:dyDescent="0.25">
      <c r="A260" s="26" t="s">
        <v>523</v>
      </c>
      <c r="B260" s="27" t="s">
        <v>958</v>
      </c>
      <c r="C260" s="28">
        <v>6080663.0499999998</v>
      </c>
      <c r="D260" s="28">
        <v>2114772.11</v>
      </c>
      <c r="E260" s="28">
        <v>2047760.31</v>
      </c>
      <c r="F260" s="29">
        <v>2299086.5499999998</v>
      </c>
      <c r="G260" t="str">
        <f t="shared" si="3"/>
        <v>6003</v>
      </c>
    </row>
    <row r="261" spans="1:7" x14ac:dyDescent="0.25">
      <c r="A261" s="26" t="s">
        <v>525</v>
      </c>
      <c r="B261" s="27" t="s">
        <v>959</v>
      </c>
      <c r="C261" s="28">
        <v>7078030.0599999996</v>
      </c>
      <c r="D261" s="28">
        <v>1126549.54</v>
      </c>
      <c r="E261" s="28">
        <v>2746958.02</v>
      </c>
      <c r="F261" s="29">
        <v>3086742.36</v>
      </c>
      <c r="G261" t="str">
        <f t="shared" si="3"/>
        <v>6012</v>
      </c>
    </row>
    <row r="262" spans="1:7" x14ac:dyDescent="0.25">
      <c r="A262" s="26" t="s">
        <v>527</v>
      </c>
      <c r="B262" s="27" t="s">
        <v>960</v>
      </c>
      <c r="C262" s="28">
        <v>19770309.84</v>
      </c>
      <c r="D262" s="28">
        <v>2640711.86</v>
      </c>
      <c r="E262" s="28">
        <v>646670.05000000005</v>
      </c>
      <c r="F262" s="29">
        <v>1229268.68</v>
      </c>
      <c r="G262" t="str">
        <f t="shared" ref="G262:G325" si="4">TEXT(A262,"0000")</f>
        <v>6030</v>
      </c>
    </row>
    <row r="263" spans="1:7" x14ac:dyDescent="0.25">
      <c r="A263" s="26" t="s">
        <v>530</v>
      </c>
      <c r="B263" s="27" t="s">
        <v>961</v>
      </c>
      <c r="C263" s="28">
        <v>7503119.4299999997</v>
      </c>
      <c r="D263" s="28">
        <v>2997766.17</v>
      </c>
      <c r="E263" s="28">
        <v>3942217.48</v>
      </c>
      <c r="F263" s="29">
        <v>4251170.34</v>
      </c>
      <c r="G263" t="str">
        <f t="shared" si="4"/>
        <v>6035</v>
      </c>
    </row>
    <row r="264" spans="1:7" x14ac:dyDescent="0.25">
      <c r="A264" s="26" t="s">
        <v>532</v>
      </c>
      <c r="B264" s="27" t="s">
        <v>962</v>
      </c>
      <c r="C264" s="28">
        <v>175574033.63</v>
      </c>
      <c r="D264" s="28">
        <v>23342458.82</v>
      </c>
      <c r="E264" s="28">
        <v>52519874.009999998</v>
      </c>
      <c r="F264" s="29">
        <v>56628975.829999998</v>
      </c>
      <c r="G264" t="str">
        <f t="shared" si="4"/>
        <v>6039</v>
      </c>
    </row>
    <row r="265" spans="1:7" x14ac:dyDescent="0.25">
      <c r="A265" s="26" t="s">
        <v>536</v>
      </c>
      <c r="B265" s="27" t="s">
        <v>963</v>
      </c>
      <c r="C265" s="28">
        <v>11431990.83</v>
      </c>
      <c r="D265" s="28">
        <v>1621316.14</v>
      </c>
      <c r="E265" s="28">
        <v>9507663.75</v>
      </c>
      <c r="F265" s="29">
        <v>9808652.4600000009</v>
      </c>
      <c r="G265" t="str">
        <f t="shared" si="4"/>
        <v>6091</v>
      </c>
    </row>
    <row r="266" spans="1:7" x14ac:dyDescent="0.25">
      <c r="A266" s="26" t="s">
        <v>534</v>
      </c>
      <c r="B266" s="27" t="s">
        <v>964</v>
      </c>
      <c r="C266" s="28">
        <v>15519023.02</v>
      </c>
      <c r="D266" s="28">
        <v>1380415.9</v>
      </c>
      <c r="E266" s="28">
        <v>3255087.54</v>
      </c>
      <c r="F266" s="29">
        <v>3764225.9</v>
      </c>
      <c r="G266" t="str">
        <f t="shared" si="4"/>
        <v>6093</v>
      </c>
    </row>
    <row r="267" spans="1:7" x14ac:dyDescent="0.25">
      <c r="A267" s="26" t="s">
        <v>551</v>
      </c>
      <c r="B267" s="27" t="s">
        <v>965</v>
      </c>
      <c r="C267" s="28">
        <v>7033166.0700000003</v>
      </c>
      <c r="D267" s="28">
        <v>810645.86</v>
      </c>
      <c r="E267" s="28">
        <v>1520743.29</v>
      </c>
      <c r="F267" s="29">
        <v>1877053.42</v>
      </c>
      <c r="G267" t="str">
        <f t="shared" si="4"/>
        <v>6094</v>
      </c>
    </row>
    <row r="268" spans="1:7" x14ac:dyDescent="0.25">
      <c r="A268" s="26" t="s">
        <v>538</v>
      </c>
      <c r="B268" s="27" t="s">
        <v>966</v>
      </c>
      <c r="C268" s="28">
        <v>8124947.0599999996</v>
      </c>
      <c r="D268" s="28">
        <v>1686549.47</v>
      </c>
      <c r="E268" s="28">
        <v>2074735.88</v>
      </c>
      <c r="F268" s="29">
        <v>2637339.88</v>
      </c>
      <c r="G268" t="str">
        <f t="shared" si="4"/>
        <v>6095</v>
      </c>
    </row>
    <row r="269" spans="1:7" x14ac:dyDescent="0.25">
      <c r="A269" s="26" t="s">
        <v>553</v>
      </c>
      <c r="B269" s="27" t="s">
        <v>967</v>
      </c>
      <c r="C269" s="28">
        <v>7798989.0800000001</v>
      </c>
      <c r="D269" s="28">
        <v>2856405.11</v>
      </c>
      <c r="E269" s="28">
        <v>4534264.7699999996</v>
      </c>
      <c r="F269" s="29">
        <v>4604640.74</v>
      </c>
      <c r="G269" t="str">
        <f t="shared" si="4"/>
        <v>6096</v>
      </c>
    </row>
    <row r="270" spans="1:7" x14ac:dyDescent="0.25">
      <c r="A270" s="26" t="s">
        <v>543</v>
      </c>
      <c r="B270" s="27" t="s">
        <v>968</v>
      </c>
      <c r="C270" s="28">
        <v>3020001.72</v>
      </c>
      <c r="D270" s="28">
        <v>396470.33</v>
      </c>
      <c r="E270" s="28">
        <v>413118.22</v>
      </c>
      <c r="F270" s="29">
        <v>605266.6</v>
      </c>
      <c r="G270" t="str">
        <f t="shared" si="4"/>
        <v>6097</v>
      </c>
    </row>
    <row r="271" spans="1:7" x14ac:dyDescent="0.25">
      <c r="A271" s="26" t="s">
        <v>545</v>
      </c>
      <c r="B271" s="27" t="s">
        <v>688</v>
      </c>
      <c r="C271" s="28">
        <v>19104907.620000001</v>
      </c>
      <c r="D271" s="28">
        <v>2632934.38</v>
      </c>
      <c r="E271" s="28">
        <v>4861318.71</v>
      </c>
      <c r="F271" s="29">
        <v>5152549.93</v>
      </c>
      <c r="G271" t="str">
        <f t="shared" si="4"/>
        <v>6098</v>
      </c>
    </row>
    <row r="272" spans="1:7" x14ac:dyDescent="0.25">
      <c r="A272" s="26" t="s">
        <v>541</v>
      </c>
      <c r="B272" s="27" t="s">
        <v>969</v>
      </c>
      <c r="C272" s="28">
        <v>7682382.9400000004</v>
      </c>
      <c r="D272" s="28">
        <v>775184.14</v>
      </c>
      <c r="E272" s="28">
        <v>946416.14</v>
      </c>
      <c r="F272" s="29">
        <v>1478822.85</v>
      </c>
      <c r="G272" t="str">
        <f t="shared" si="4"/>
        <v>6099</v>
      </c>
    </row>
    <row r="273" spans="1:7" x14ac:dyDescent="0.25">
      <c r="A273" s="26" t="s">
        <v>547</v>
      </c>
      <c r="B273" s="27" t="s">
        <v>970</v>
      </c>
      <c r="C273" s="28">
        <v>7651671.5700000003</v>
      </c>
      <c r="D273" s="28">
        <v>1175345.1499999999</v>
      </c>
      <c r="E273" s="28">
        <v>517089.49</v>
      </c>
      <c r="F273" s="29">
        <v>681863.81</v>
      </c>
      <c r="G273" t="str">
        <f t="shared" si="4"/>
        <v>6100</v>
      </c>
    </row>
    <row r="274" spans="1:7" x14ac:dyDescent="0.25">
      <c r="A274" s="26" t="s">
        <v>549</v>
      </c>
      <c r="B274" s="27" t="s">
        <v>971</v>
      </c>
      <c r="C274" s="28">
        <v>84423300.019999996</v>
      </c>
      <c r="D274" s="28">
        <v>11114847.66</v>
      </c>
      <c r="E274" s="28">
        <v>12641571.99</v>
      </c>
      <c r="F274" s="29">
        <v>15600387.119999999</v>
      </c>
      <c r="G274" t="str">
        <f t="shared" si="4"/>
        <v>6101</v>
      </c>
    </row>
    <row r="275" spans="1:7" x14ac:dyDescent="0.25">
      <c r="A275" s="26" t="s">
        <v>555</v>
      </c>
      <c r="B275" s="27" t="s">
        <v>972</v>
      </c>
      <c r="C275" s="28">
        <v>26407505.199999999</v>
      </c>
      <c r="D275" s="28">
        <v>4921113.17</v>
      </c>
      <c r="E275" s="28">
        <v>4402965.05</v>
      </c>
      <c r="F275" s="29">
        <v>4696129.54</v>
      </c>
      <c r="G275" t="str">
        <f t="shared" si="4"/>
        <v>6102</v>
      </c>
    </row>
    <row r="276" spans="1:7" x14ac:dyDescent="0.25">
      <c r="A276" s="26" t="s">
        <v>557</v>
      </c>
      <c r="B276" s="27" t="s">
        <v>973</v>
      </c>
      <c r="C276" s="28">
        <v>14434087.83</v>
      </c>
      <c r="D276" s="28">
        <v>2136825.94</v>
      </c>
      <c r="E276" s="28">
        <v>3478867.59</v>
      </c>
      <c r="F276" s="29">
        <v>3752040.95</v>
      </c>
      <c r="G276" t="str">
        <f t="shared" si="4"/>
        <v>6120</v>
      </c>
    </row>
    <row r="277" spans="1:7" x14ac:dyDescent="0.25">
      <c r="A277" s="26" t="s">
        <v>559</v>
      </c>
      <c r="B277" s="27" t="s">
        <v>974</v>
      </c>
      <c r="C277" s="28">
        <v>5298227.8499999996</v>
      </c>
      <c r="D277" s="28">
        <v>1138122.94</v>
      </c>
      <c r="E277" s="28">
        <v>1531561.26</v>
      </c>
      <c r="F277" s="29">
        <v>1770791.08</v>
      </c>
      <c r="G277" t="str">
        <f t="shared" si="4"/>
        <v>6138</v>
      </c>
    </row>
    <row r="278" spans="1:7" x14ac:dyDescent="0.25">
      <c r="A278" s="26" t="s">
        <v>563</v>
      </c>
      <c r="B278" s="27" t="s">
        <v>975</v>
      </c>
      <c r="C278" s="28">
        <v>3131869.76</v>
      </c>
      <c r="D278" s="28">
        <v>1163392.23</v>
      </c>
      <c r="E278" s="28">
        <v>1379847.59</v>
      </c>
      <c r="F278" s="29">
        <v>1616613.22</v>
      </c>
      <c r="G278" t="str">
        <f t="shared" si="4"/>
        <v>6165</v>
      </c>
    </row>
    <row r="279" spans="1:7" x14ac:dyDescent="0.25">
      <c r="A279" s="26" t="s">
        <v>565</v>
      </c>
      <c r="B279" s="27" t="s">
        <v>976</v>
      </c>
      <c r="C279" s="28">
        <v>8371770.1200000001</v>
      </c>
      <c r="D279" s="28">
        <v>1221620.9099999999</v>
      </c>
      <c r="E279" s="28">
        <v>3334672.68</v>
      </c>
      <c r="F279" s="29">
        <v>3663997.18</v>
      </c>
      <c r="G279" t="str">
        <f t="shared" si="4"/>
        <v>6175</v>
      </c>
    </row>
    <row r="280" spans="1:7" x14ac:dyDescent="0.25">
      <c r="A280" s="26" t="s">
        <v>567</v>
      </c>
      <c r="B280" s="27" t="s">
        <v>977</v>
      </c>
      <c r="C280" s="28">
        <v>31930392.289999999</v>
      </c>
      <c r="D280" s="28">
        <v>5992215.75</v>
      </c>
      <c r="E280" s="28">
        <v>5801024.04</v>
      </c>
      <c r="F280" s="29">
        <v>7212466.9699999997</v>
      </c>
      <c r="G280" t="str">
        <f t="shared" si="4"/>
        <v>6219</v>
      </c>
    </row>
    <row r="281" spans="1:7" x14ac:dyDescent="0.25">
      <c r="A281" s="26" t="s">
        <v>569</v>
      </c>
      <c r="B281" s="27" t="s">
        <v>978</v>
      </c>
      <c r="C281" s="28">
        <v>2108344.62</v>
      </c>
      <c r="D281" s="28">
        <v>348484.99</v>
      </c>
      <c r="E281" s="28">
        <v>276570.64</v>
      </c>
      <c r="F281" s="29">
        <v>408526.93</v>
      </c>
      <c r="G281" t="str">
        <f t="shared" si="4"/>
        <v>6246</v>
      </c>
    </row>
    <row r="282" spans="1:7" x14ac:dyDescent="0.25">
      <c r="A282" s="26" t="s">
        <v>631</v>
      </c>
      <c r="B282" s="27" t="s">
        <v>979</v>
      </c>
      <c r="C282" s="28">
        <v>10964549.710000001</v>
      </c>
      <c r="D282" s="28">
        <v>1255072.49</v>
      </c>
      <c r="E282" s="28">
        <v>2243112.48</v>
      </c>
      <c r="F282" s="29">
        <v>2876200.04</v>
      </c>
      <c r="G282" t="str">
        <f t="shared" si="4"/>
        <v>6264</v>
      </c>
    </row>
    <row r="283" spans="1:7" x14ac:dyDescent="0.25">
      <c r="A283" s="26" t="s">
        <v>571</v>
      </c>
      <c r="B283" s="27" t="s">
        <v>980</v>
      </c>
      <c r="C283" s="28">
        <v>10004459.33</v>
      </c>
      <c r="D283" s="28">
        <v>1366065.24</v>
      </c>
      <c r="E283" s="28">
        <v>1063095.8799999999</v>
      </c>
      <c r="F283" s="29">
        <v>1944971.32</v>
      </c>
      <c r="G283" t="str">
        <f t="shared" si="4"/>
        <v>6273</v>
      </c>
    </row>
    <row r="284" spans="1:7" x14ac:dyDescent="0.25">
      <c r="A284" s="26" t="s">
        <v>573</v>
      </c>
      <c r="B284" s="27" t="s">
        <v>981</v>
      </c>
      <c r="C284" s="28">
        <v>10956806.99</v>
      </c>
      <c r="D284" s="28">
        <v>1791798.41</v>
      </c>
      <c r="E284" s="28">
        <v>2099875.62</v>
      </c>
      <c r="F284" s="29">
        <v>2330828.92</v>
      </c>
      <c r="G284" t="str">
        <f t="shared" si="4"/>
        <v>6408</v>
      </c>
    </row>
    <row r="285" spans="1:7" x14ac:dyDescent="0.25">
      <c r="A285" s="26" t="s">
        <v>575</v>
      </c>
      <c r="B285" s="27" t="s">
        <v>982</v>
      </c>
      <c r="C285" s="28">
        <v>8374955.7699999996</v>
      </c>
      <c r="D285" s="28">
        <v>2696056.51</v>
      </c>
      <c r="E285" s="28">
        <v>2302956.2000000002</v>
      </c>
      <c r="F285" s="29">
        <v>2525319.4</v>
      </c>
      <c r="G285" t="str">
        <f t="shared" si="4"/>
        <v>6453</v>
      </c>
    </row>
    <row r="286" spans="1:7" x14ac:dyDescent="0.25">
      <c r="A286" s="26" t="s">
        <v>577</v>
      </c>
      <c r="B286" s="27" t="s">
        <v>983</v>
      </c>
      <c r="C286" s="28">
        <v>8356014.6600000001</v>
      </c>
      <c r="D286" s="28">
        <v>1429899.27</v>
      </c>
      <c r="E286" s="28">
        <v>2574722.5099999998</v>
      </c>
      <c r="F286" s="29">
        <v>2799864.75</v>
      </c>
      <c r="G286" t="str">
        <f t="shared" si="4"/>
        <v>6460</v>
      </c>
    </row>
    <row r="287" spans="1:7" x14ac:dyDescent="0.25">
      <c r="A287" s="26" t="s">
        <v>579</v>
      </c>
      <c r="B287" s="27" t="s">
        <v>984</v>
      </c>
      <c r="C287" s="28">
        <v>3337203.11</v>
      </c>
      <c r="D287" s="28">
        <v>662758.23</v>
      </c>
      <c r="E287" s="28">
        <v>2126013.23</v>
      </c>
      <c r="F287" s="29">
        <v>2356044.5699999998</v>
      </c>
      <c r="G287" t="str">
        <f t="shared" si="4"/>
        <v>6462</v>
      </c>
    </row>
    <row r="288" spans="1:7" x14ac:dyDescent="0.25">
      <c r="A288" s="26" t="s">
        <v>581</v>
      </c>
      <c r="B288" s="27" t="s">
        <v>985</v>
      </c>
      <c r="C288" s="28">
        <v>5846205.6699999999</v>
      </c>
      <c r="D288" s="28">
        <v>1020205.47</v>
      </c>
      <c r="E288" s="28">
        <v>1199184.83</v>
      </c>
      <c r="F288" s="29">
        <v>1634173.66</v>
      </c>
      <c r="G288" t="str">
        <f t="shared" si="4"/>
        <v>6471</v>
      </c>
    </row>
    <row r="289" spans="1:7" x14ac:dyDescent="0.25">
      <c r="A289" s="26" t="s">
        <v>583</v>
      </c>
      <c r="B289" s="27" t="s">
        <v>986</v>
      </c>
      <c r="C289" s="28">
        <v>5047632.71</v>
      </c>
      <c r="D289" s="28">
        <v>1207302.7</v>
      </c>
      <c r="E289" s="28">
        <v>2268659.77</v>
      </c>
      <c r="F289" s="29">
        <v>2528034.04</v>
      </c>
      <c r="G289" t="str">
        <f t="shared" si="4"/>
        <v>6509</v>
      </c>
    </row>
    <row r="290" spans="1:7" x14ac:dyDescent="0.25">
      <c r="A290" s="26" t="s">
        <v>585</v>
      </c>
      <c r="B290" s="27" t="s">
        <v>987</v>
      </c>
      <c r="C290" s="28">
        <v>5127518.9000000004</v>
      </c>
      <c r="D290" s="28">
        <v>1050577.27</v>
      </c>
      <c r="E290" s="28">
        <v>310736.8</v>
      </c>
      <c r="F290" s="29">
        <v>376676.16</v>
      </c>
      <c r="G290" t="str">
        <f t="shared" si="4"/>
        <v>6512</v>
      </c>
    </row>
    <row r="291" spans="1:7" x14ac:dyDescent="0.25">
      <c r="A291" s="26" t="s">
        <v>587</v>
      </c>
      <c r="B291" s="27" t="s">
        <v>988</v>
      </c>
      <c r="C291" s="28">
        <v>2612004.02</v>
      </c>
      <c r="D291" s="28">
        <v>346555.65</v>
      </c>
      <c r="E291" s="28">
        <v>2171964.87</v>
      </c>
      <c r="F291" s="29">
        <v>2204430.96</v>
      </c>
      <c r="G291" t="str">
        <f t="shared" si="4"/>
        <v>6516</v>
      </c>
    </row>
    <row r="292" spans="1:7" x14ac:dyDescent="0.25">
      <c r="A292" s="26" t="s">
        <v>589</v>
      </c>
      <c r="B292" s="27" t="s">
        <v>989</v>
      </c>
      <c r="C292" s="28">
        <v>9359724.9800000004</v>
      </c>
      <c r="D292" s="28">
        <v>1624138.64</v>
      </c>
      <c r="E292" s="28">
        <v>829307.27</v>
      </c>
      <c r="F292" s="29">
        <v>1142402.82</v>
      </c>
      <c r="G292" t="str">
        <f t="shared" si="4"/>
        <v>6534</v>
      </c>
    </row>
    <row r="293" spans="1:7" x14ac:dyDescent="0.25">
      <c r="A293" s="26" t="s">
        <v>592</v>
      </c>
      <c r="B293" s="27" t="s">
        <v>990</v>
      </c>
      <c r="C293" s="28">
        <v>12762877.92</v>
      </c>
      <c r="D293" s="28">
        <v>1219292.26</v>
      </c>
      <c r="E293" s="28">
        <v>1354182.23</v>
      </c>
      <c r="F293" s="29">
        <v>2311568.2400000002</v>
      </c>
      <c r="G293" t="str">
        <f t="shared" si="4"/>
        <v>6536</v>
      </c>
    </row>
    <row r="294" spans="1:7" x14ac:dyDescent="0.25">
      <c r="A294" s="26" t="s">
        <v>594</v>
      </c>
      <c r="B294" s="27" t="s">
        <v>991</v>
      </c>
      <c r="C294" s="28">
        <v>5626619.4199999999</v>
      </c>
      <c r="D294" s="28">
        <v>1451535.01</v>
      </c>
      <c r="E294" s="28">
        <v>1834595.91</v>
      </c>
      <c r="F294" s="29">
        <v>2184078.25</v>
      </c>
      <c r="G294" t="str">
        <f t="shared" si="4"/>
        <v>6561</v>
      </c>
    </row>
    <row r="295" spans="1:7" x14ac:dyDescent="0.25">
      <c r="A295" s="26" t="s">
        <v>596</v>
      </c>
      <c r="B295" s="27" t="s">
        <v>992</v>
      </c>
      <c r="C295" s="28">
        <v>49034877.219999999</v>
      </c>
      <c r="D295" s="28">
        <v>10713299.960000001</v>
      </c>
      <c r="E295" s="28">
        <v>5811128.6100000003</v>
      </c>
      <c r="F295" s="29">
        <v>7387609.1500000004</v>
      </c>
      <c r="G295" t="str">
        <f t="shared" si="4"/>
        <v>6579</v>
      </c>
    </row>
    <row r="296" spans="1:7" x14ac:dyDescent="0.25">
      <c r="A296" s="26" t="s">
        <v>598</v>
      </c>
      <c r="B296" s="27" t="s">
        <v>993</v>
      </c>
      <c r="C296" s="28">
        <v>13949484.49</v>
      </c>
      <c r="D296" s="28">
        <v>2976538.31</v>
      </c>
      <c r="E296" s="28">
        <v>5451562.21</v>
      </c>
      <c r="F296" s="29">
        <v>6706402.8899999997</v>
      </c>
      <c r="G296" t="str">
        <f t="shared" si="4"/>
        <v>6592</v>
      </c>
    </row>
    <row r="297" spans="1:7" x14ac:dyDescent="0.25">
      <c r="A297" s="26" t="s">
        <v>599</v>
      </c>
      <c r="B297" s="27" t="s">
        <v>994</v>
      </c>
      <c r="C297" s="28">
        <v>9271031.4499999993</v>
      </c>
      <c r="D297" s="28">
        <v>1825889.07</v>
      </c>
      <c r="E297" s="28">
        <v>1911596.4</v>
      </c>
      <c r="F297" s="29">
        <v>2040996.92</v>
      </c>
      <c r="G297" t="str">
        <f t="shared" si="4"/>
        <v>6615</v>
      </c>
    </row>
    <row r="298" spans="1:7" x14ac:dyDescent="0.25">
      <c r="A298" s="26" t="s">
        <v>601</v>
      </c>
      <c r="B298" s="27" t="s">
        <v>995</v>
      </c>
      <c r="C298" s="28">
        <v>4512612.1399999997</v>
      </c>
      <c r="D298" s="28">
        <v>1379673.69</v>
      </c>
      <c r="E298" s="28">
        <v>1831401.93</v>
      </c>
      <c r="F298" s="29">
        <v>1848306.19</v>
      </c>
      <c r="G298" t="str">
        <f t="shared" si="4"/>
        <v>6651</v>
      </c>
    </row>
    <row r="299" spans="1:7" x14ac:dyDescent="0.25">
      <c r="A299" s="26" t="s">
        <v>603</v>
      </c>
      <c r="B299" s="27" t="s">
        <v>996</v>
      </c>
      <c r="C299" s="28">
        <v>19013048.93</v>
      </c>
      <c r="D299" s="28">
        <v>2387824.34</v>
      </c>
      <c r="E299" s="28">
        <v>2189857.04</v>
      </c>
      <c r="F299" s="29">
        <v>2678052.9900000002</v>
      </c>
      <c r="G299" t="str">
        <f t="shared" si="4"/>
        <v>6660</v>
      </c>
    </row>
    <row r="300" spans="1:7" x14ac:dyDescent="0.25">
      <c r="A300" s="26" t="s">
        <v>605</v>
      </c>
      <c r="B300" s="27" t="s">
        <v>997</v>
      </c>
      <c r="C300" s="28">
        <v>6729080.8799999999</v>
      </c>
      <c r="D300" s="28">
        <v>1383531.13</v>
      </c>
      <c r="E300" s="28">
        <v>1289845.6499999999</v>
      </c>
      <c r="F300" s="29">
        <v>1983558.23</v>
      </c>
      <c r="G300" t="str">
        <f t="shared" si="4"/>
        <v>6700</v>
      </c>
    </row>
    <row r="301" spans="1:7" x14ac:dyDescent="0.25">
      <c r="A301" s="26" t="s">
        <v>204</v>
      </c>
      <c r="B301" s="27" t="s">
        <v>998</v>
      </c>
      <c r="C301" s="28">
        <v>10250918.1</v>
      </c>
      <c r="D301" s="28">
        <v>1684564.15</v>
      </c>
      <c r="E301" s="28">
        <v>1215913.21</v>
      </c>
      <c r="F301" s="29">
        <v>1547080.18</v>
      </c>
      <c r="G301" t="str">
        <f t="shared" si="4"/>
        <v>6741</v>
      </c>
    </row>
    <row r="302" spans="1:7" x14ac:dyDescent="0.25">
      <c r="A302" s="26" t="s">
        <v>607</v>
      </c>
      <c r="B302" s="27" t="s">
        <v>999</v>
      </c>
      <c r="C302" s="28">
        <v>7542758.2000000002</v>
      </c>
      <c r="D302" s="28">
        <v>975531.71</v>
      </c>
      <c r="E302" s="28">
        <v>1673458.67</v>
      </c>
      <c r="F302" s="29">
        <v>2114608.69</v>
      </c>
      <c r="G302" t="str">
        <f t="shared" si="4"/>
        <v>6759</v>
      </c>
    </row>
    <row r="303" spans="1:7" x14ac:dyDescent="0.25">
      <c r="A303" s="26" t="s">
        <v>609</v>
      </c>
      <c r="B303" s="27" t="s">
        <v>1000</v>
      </c>
      <c r="C303" s="28">
        <v>8515296.0500000007</v>
      </c>
      <c r="D303" s="28">
        <v>1303425.1100000001</v>
      </c>
      <c r="E303" s="28">
        <v>1918187.4</v>
      </c>
      <c r="F303" s="29">
        <v>2035356.75</v>
      </c>
      <c r="G303" t="str">
        <f t="shared" si="4"/>
        <v>6762</v>
      </c>
    </row>
    <row r="304" spans="1:7" x14ac:dyDescent="0.25">
      <c r="A304" s="26" t="s">
        <v>611</v>
      </c>
      <c r="B304" s="27" t="s">
        <v>1001</v>
      </c>
      <c r="C304" s="28">
        <v>22654616.050000001</v>
      </c>
      <c r="D304" s="28">
        <v>2971431.92</v>
      </c>
      <c r="E304" s="28">
        <v>4731295.8899999997</v>
      </c>
      <c r="F304" s="29">
        <v>5863719.1299999999</v>
      </c>
      <c r="G304" t="str">
        <f t="shared" si="4"/>
        <v>6768</v>
      </c>
    </row>
    <row r="305" spans="1:7" x14ac:dyDescent="0.25">
      <c r="A305" s="26" t="s">
        <v>613</v>
      </c>
      <c r="B305" s="27" t="s">
        <v>1002</v>
      </c>
      <c r="C305" s="28">
        <v>142306248.99000001</v>
      </c>
      <c r="D305" s="28">
        <v>27070848.649999999</v>
      </c>
      <c r="E305" s="28">
        <v>28179854.440000001</v>
      </c>
      <c r="F305" s="29">
        <v>29206916.260000002</v>
      </c>
      <c r="G305" t="str">
        <f t="shared" si="4"/>
        <v>6795</v>
      </c>
    </row>
    <row r="306" spans="1:7" x14ac:dyDescent="0.25">
      <c r="A306" s="26" t="s">
        <v>615</v>
      </c>
      <c r="B306" s="27" t="s">
        <v>1003</v>
      </c>
      <c r="C306" s="28">
        <v>132380242.01000001</v>
      </c>
      <c r="D306" s="28">
        <v>9878349.5399999991</v>
      </c>
      <c r="E306" s="28">
        <v>13250403.26</v>
      </c>
      <c r="F306" s="29">
        <v>18603049.460000001</v>
      </c>
      <c r="G306" t="str">
        <f t="shared" si="4"/>
        <v>6822</v>
      </c>
    </row>
    <row r="307" spans="1:7" x14ac:dyDescent="0.25">
      <c r="A307" s="26" t="s">
        <v>617</v>
      </c>
      <c r="B307" s="27" t="s">
        <v>1004</v>
      </c>
      <c r="C307" s="28">
        <v>27449824.809999999</v>
      </c>
      <c r="D307" s="28">
        <v>5409769.9800000004</v>
      </c>
      <c r="E307" s="28">
        <v>6288068.9100000001</v>
      </c>
      <c r="F307" s="29">
        <v>6720924.6399999997</v>
      </c>
      <c r="G307" t="str">
        <f t="shared" si="4"/>
        <v>6840</v>
      </c>
    </row>
    <row r="308" spans="1:7" x14ac:dyDescent="0.25">
      <c r="A308" s="26" t="s">
        <v>619</v>
      </c>
      <c r="B308" s="27" t="s">
        <v>1005</v>
      </c>
      <c r="C308" s="28">
        <v>6900707.7199999997</v>
      </c>
      <c r="D308" s="28">
        <v>1485671.84</v>
      </c>
      <c r="E308" s="28">
        <v>4487273.6100000003</v>
      </c>
      <c r="F308" s="29">
        <v>5035586.3099999996</v>
      </c>
      <c r="G308" t="str">
        <f t="shared" si="4"/>
        <v>6854</v>
      </c>
    </row>
    <row r="309" spans="1:7" x14ac:dyDescent="0.25">
      <c r="A309" s="26" t="s">
        <v>621</v>
      </c>
      <c r="B309" s="27" t="s">
        <v>1006</v>
      </c>
      <c r="C309" s="28">
        <v>22627946.350000001</v>
      </c>
      <c r="D309" s="28">
        <v>3156314.44</v>
      </c>
      <c r="E309" s="28">
        <v>4096376.58</v>
      </c>
      <c r="F309" s="29">
        <v>4893527.5999999996</v>
      </c>
      <c r="G309" t="str">
        <f t="shared" si="4"/>
        <v>6867</v>
      </c>
    </row>
    <row r="310" spans="1:7" x14ac:dyDescent="0.25">
      <c r="A310" s="26" t="s">
        <v>623</v>
      </c>
      <c r="B310" s="27" t="s">
        <v>1007</v>
      </c>
      <c r="C310" s="28">
        <v>4283845.3099999996</v>
      </c>
      <c r="D310" s="28">
        <v>1078958.6299999999</v>
      </c>
      <c r="E310" s="28">
        <v>1490088.07</v>
      </c>
      <c r="F310" s="29">
        <v>2007590.14</v>
      </c>
      <c r="G310" t="str">
        <f t="shared" si="4"/>
        <v>6921</v>
      </c>
    </row>
    <row r="311" spans="1:7" x14ac:dyDescent="0.25">
      <c r="A311" s="26" t="s">
        <v>625</v>
      </c>
      <c r="B311" s="27" t="s">
        <v>1008</v>
      </c>
      <c r="C311" s="28">
        <v>9631647.3000000007</v>
      </c>
      <c r="D311" s="28">
        <v>1213211.96</v>
      </c>
      <c r="E311" s="28">
        <v>1569741.85</v>
      </c>
      <c r="F311" s="29">
        <v>1810915.98</v>
      </c>
      <c r="G311" t="str">
        <f t="shared" si="4"/>
        <v>6930</v>
      </c>
    </row>
    <row r="312" spans="1:7" x14ac:dyDescent="0.25">
      <c r="A312" s="26" t="s">
        <v>627</v>
      </c>
      <c r="B312" s="27" t="s">
        <v>1009</v>
      </c>
      <c r="C312" s="28">
        <v>9259227.7100000009</v>
      </c>
      <c r="D312" s="28">
        <v>4405389.4000000004</v>
      </c>
      <c r="E312" s="28">
        <v>1958158.14</v>
      </c>
      <c r="F312" s="29">
        <v>2262329.5299999998</v>
      </c>
      <c r="G312" t="str">
        <f t="shared" si="4"/>
        <v>6937</v>
      </c>
    </row>
    <row r="313" spans="1:7" x14ac:dyDescent="0.25">
      <c r="A313" s="26" t="s">
        <v>629</v>
      </c>
      <c r="B313" s="27" t="s">
        <v>1010</v>
      </c>
      <c r="C313" s="28">
        <v>4193504.99</v>
      </c>
      <c r="D313" s="28">
        <v>871438.82</v>
      </c>
      <c r="E313" s="28">
        <v>733831.48</v>
      </c>
      <c r="F313" s="29">
        <v>963528.69</v>
      </c>
      <c r="G313" t="str">
        <f t="shared" si="4"/>
        <v>6943</v>
      </c>
    </row>
    <row r="314" spans="1:7" x14ac:dyDescent="0.25">
      <c r="A314" s="26" t="s">
        <v>633</v>
      </c>
      <c r="B314" s="27" t="s">
        <v>1011</v>
      </c>
      <c r="C314" s="28">
        <v>17668656.329999998</v>
      </c>
      <c r="D314" s="28">
        <v>1871221.08</v>
      </c>
      <c r="E314" s="28">
        <v>2240580.16</v>
      </c>
      <c r="F314" s="29">
        <v>3283556.19</v>
      </c>
      <c r="G314" t="str">
        <f t="shared" si="4"/>
        <v>6950</v>
      </c>
    </row>
    <row r="315" spans="1:7" x14ac:dyDescent="0.25">
      <c r="A315" s="26" t="s">
        <v>635</v>
      </c>
      <c r="B315" s="27" t="s">
        <v>1012</v>
      </c>
      <c r="C315" s="28">
        <v>122599925.2</v>
      </c>
      <c r="D315" s="28">
        <v>17472810.379999999</v>
      </c>
      <c r="E315" s="28">
        <v>13007005.84</v>
      </c>
      <c r="F315" s="29">
        <v>21127008.289999999</v>
      </c>
      <c r="G315" t="str">
        <f t="shared" si="4"/>
        <v>6957</v>
      </c>
    </row>
    <row r="316" spans="1:7" x14ac:dyDescent="0.25">
      <c r="A316" s="26" t="s">
        <v>653</v>
      </c>
      <c r="B316" s="27" t="s">
        <v>1013</v>
      </c>
      <c r="C316" s="28">
        <v>41276243.890000001</v>
      </c>
      <c r="D316" s="28">
        <v>7230436.6500000004</v>
      </c>
      <c r="E316" s="28">
        <v>6363722.6699999999</v>
      </c>
      <c r="F316" s="29">
        <v>7401239.6100000003</v>
      </c>
      <c r="G316" t="str">
        <f t="shared" si="4"/>
        <v>6961</v>
      </c>
    </row>
    <row r="317" spans="1:7" x14ac:dyDescent="0.25">
      <c r="A317" s="26" t="s">
        <v>641</v>
      </c>
      <c r="B317" s="27" t="s">
        <v>1014</v>
      </c>
      <c r="C317" s="28">
        <v>5216152.45</v>
      </c>
      <c r="D317" s="28">
        <v>930362.35</v>
      </c>
      <c r="E317" s="28">
        <v>979864.12</v>
      </c>
      <c r="F317" s="29">
        <v>1332787.45</v>
      </c>
      <c r="G317" t="str">
        <f t="shared" si="4"/>
        <v>6969</v>
      </c>
    </row>
    <row r="318" spans="1:7" x14ac:dyDescent="0.25">
      <c r="A318" s="26" t="s">
        <v>643</v>
      </c>
      <c r="B318" s="27" t="s">
        <v>1015</v>
      </c>
      <c r="C318" s="28">
        <v>14957247.15</v>
      </c>
      <c r="D318" s="28">
        <v>1876528.97</v>
      </c>
      <c r="E318" s="28">
        <v>6909182.79</v>
      </c>
      <c r="F318" s="29">
        <v>7521618.9299999997</v>
      </c>
      <c r="G318" t="str">
        <f t="shared" si="4"/>
        <v>6975</v>
      </c>
    </row>
    <row r="319" spans="1:7" x14ac:dyDescent="0.25">
      <c r="A319" s="26" t="s">
        <v>645</v>
      </c>
      <c r="B319" s="27" t="s">
        <v>1016</v>
      </c>
      <c r="C319" s="28">
        <v>10380062.77</v>
      </c>
      <c r="D319" s="28">
        <v>1113887.54</v>
      </c>
      <c r="E319" s="28">
        <v>1829942.12</v>
      </c>
      <c r="F319" s="29">
        <v>2913209.33</v>
      </c>
      <c r="G319" t="str">
        <f t="shared" si="4"/>
        <v>6983</v>
      </c>
    </row>
    <row r="320" spans="1:7" x14ac:dyDescent="0.25">
      <c r="A320" s="26" t="s">
        <v>647</v>
      </c>
      <c r="B320" s="27" t="s">
        <v>1017</v>
      </c>
      <c r="C320" s="28">
        <v>10188945.359999999</v>
      </c>
      <c r="D320" s="28">
        <v>1867191.56</v>
      </c>
      <c r="E320" s="28">
        <v>4288145.2300000004</v>
      </c>
      <c r="F320" s="29">
        <v>5184152.41</v>
      </c>
      <c r="G320" t="str">
        <f t="shared" si="4"/>
        <v>6985</v>
      </c>
    </row>
    <row r="321" spans="1:7" x14ac:dyDescent="0.25">
      <c r="A321" s="26" t="s">
        <v>649</v>
      </c>
      <c r="B321" s="27" t="s">
        <v>1018</v>
      </c>
      <c r="C321" s="28">
        <v>7810847.4199999999</v>
      </c>
      <c r="D321" s="28">
        <v>1027345.25</v>
      </c>
      <c r="E321" s="28">
        <v>3213859.71</v>
      </c>
      <c r="F321" s="29">
        <v>3660137.53</v>
      </c>
      <c r="G321" t="str">
        <f t="shared" si="4"/>
        <v>6987</v>
      </c>
    </row>
    <row r="322" spans="1:7" x14ac:dyDescent="0.25">
      <c r="A322" s="26" t="s">
        <v>651</v>
      </c>
      <c r="B322" s="27" t="s">
        <v>1019</v>
      </c>
      <c r="C322" s="28">
        <v>11182358.210000001</v>
      </c>
      <c r="D322" s="28">
        <v>1136717.1200000001</v>
      </c>
      <c r="E322" s="28">
        <v>1647158.63</v>
      </c>
      <c r="F322" s="29">
        <v>1978698.53</v>
      </c>
      <c r="G322" t="str">
        <f t="shared" si="4"/>
        <v>6990</v>
      </c>
    </row>
    <row r="323" spans="1:7" x14ac:dyDescent="0.25">
      <c r="A323" s="26" t="s">
        <v>655</v>
      </c>
      <c r="B323" s="27" t="s">
        <v>1020</v>
      </c>
      <c r="C323" s="28">
        <v>6901523.5300000003</v>
      </c>
      <c r="D323" s="28">
        <v>1423548.04</v>
      </c>
      <c r="E323" s="28">
        <v>2706835.05</v>
      </c>
      <c r="F323" s="29">
        <v>3231606.32</v>
      </c>
      <c r="G323" t="str">
        <f t="shared" si="4"/>
        <v>6992</v>
      </c>
    </row>
    <row r="324" spans="1:7" x14ac:dyDescent="0.25">
      <c r="A324" s="26" t="s">
        <v>657</v>
      </c>
      <c r="B324" s="27" t="s">
        <v>1021</v>
      </c>
      <c r="C324" s="28">
        <v>2817709.25</v>
      </c>
      <c r="D324" s="28">
        <v>658871.26</v>
      </c>
      <c r="E324" s="28">
        <v>837787.49</v>
      </c>
      <c r="F324" s="29">
        <v>947416.54</v>
      </c>
      <c r="G324" t="str">
        <f t="shared" si="4"/>
        <v>7002</v>
      </c>
    </row>
    <row r="325" spans="1:7" x14ac:dyDescent="0.25">
      <c r="A325" s="26" t="s">
        <v>659</v>
      </c>
      <c r="B325" s="27" t="s">
        <v>1022</v>
      </c>
      <c r="C325" s="28">
        <v>14274666.07</v>
      </c>
      <c r="D325" s="28">
        <v>2319499.5299999998</v>
      </c>
      <c r="E325" s="28">
        <v>2825229.8</v>
      </c>
      <c r="F325" s="29">
        <v>3482921.47</v>
      </c>
      <c r="G325" t="str">
        <f t="shared" si="4"/>
        <v>7029</v>
      </c>
    </row>
    <row r="326" spans="1:7" x14ac:dyDescent="0.25">
      <c r="A326" s="26" t="s">
        <v>661</v>
      </c>
      <c r="B326" s="27" t="s">
        <v>1023</v>
      </c>
      <c r="C326" s="28">
        <v>10665913.880000001</v>
      </c>
      <c r="D326" s="28">
        <v>2069833.9</v>
      </c>
      <c r="E326" s="28">
        <v>3131210.92</v>
      </c>
      <c r="F326" s="29">
        <v>3233430.54</v>
      </c>
      <c r="G326" t="str">
        <f t="shared" ref="G326:G331" si="5">TEXT(A326,"0000")</f>
        <v>7038</v>
      </c>
    </row>
    <row r="327" spans="1:7" x14ac:dyDescent="0.25">
      <c r="A327" s="26" t="s">
        <v>663</v>
      </c>
      <c r="B327" s="27" t="s">
        <v>1024</v>
      </c>
      <c r="C327" s="28">
        <v>4681479.99</v>
      </c>
      <c r="D327" s="28">
        <v>1294462.06</v>
      </c>
      <c r="E327" s="28">
        <v>808710.57</v>
      </c>
      <c r="F327" s="29">
        <v>1195120.76</v>
      </c>
      <c r="G327" t="str">
        <f t="shared" si="5"/>
        <v>7047</v>
      </c>
    </row>
    <row r="328" spans="1:7" x14ac:dyDescent="0.25">
      <c r="A328" s="26" t="s">
        <v>665</v>
      </c>
      <c r="B328" s="27" t="s">
        <v>1025</v>
      </c>
      <c r="C328" s="28">
        <v>20419098.530000001</v>
      </c>
      <c r="D328" s="28">
        <v>2295067.96</v>
      </c>
      <c r="E328" s="28">
        <v>3232041.77</v>
      </c>
      <c r="F328" s="29">
        <v>3422257.09</v>
      </c>
      <c r="G328" t="str">
        <f t="shared" si="5"/>
        <v>7056</v>
      </c>
    </row>
    <row r="329" spans="1:7" x14ac:dyDescent="0.25">
      <c r="A329" s="26" t="s">
        <v>667</v>
      </c>
      <c r="B329" s="27" t="s">
        <v>1026</v>
      </c>
      <c r="C329" s="28">
        <v>6061908.7599999998</v>
      </c>
      <c r="D329" s="28">
        <v>1354757.25</v>
      </c>
      <c r="E329" s="28">
        <v>1984744.74</v>
      </c>
      <c r="F329" s="29">
        <v>2250461.0499999998</v>
      </c>
      <c r="G329" t="str">
        <f t="shared" si="5"/>
        <v>7092</v>
      </c>
    </row>
    <row r="330" spans="1:7" x14ac:dyDescent="0.25">
      <c r="A330" s="26" t="s">
        <v>669</v>
      </c>
      <c r="B330" s="27" t="s">
        <v>1027</v>
      </c>
      <c r="C330" s="28">
        <v>7392866.6799999997</v>
      </c>
      <c r="D330" s="28">
        <v>1405673.28</v>
      </c>
      <c r="E330" s="28">
        <v>732645.82</v>
      </c>
      <c r="F330" s="29">
        <v>1245580.01</v>
      </c>
      <c r="G330" t="str">
        <f t="shared" si="5"/>
        <v>7098</v>
      </c>
    </row>
    <row r="331" spans="1:7" ht="15.75" thickBot="1" x14ac:dyDescent="0.3">
      <c r="A331" s="32" t="s">
        <v>671</v>
      </c>
      <c r="B331" s="33" t="s">
        <v>1028</v>
      </c>
      <c r="C331" s="34">
        <v>15705731.390000001</v>
      </c>
      <c r="D331" s="34">
        <v>5445388.2699999996</v>
      </c>
      <c r="E331" s="34">
        <v>3435474.24</v>
      </c>
      <c r="F331" s="35">
        <v>3835061.16</v>
      </c>
      <c r="G331" t="str">
        <f t="shared" si="5"/>
        <v>7110</v>
      </c>
    </row>
    <row r="332" spans="1:7" x14ac:dyDescent="0.25">
      <c r="C332" s="3">
        <f>SUM(C5:C331)</f>
        <v>6316377389.4500046</v>
      </c>
      <c r="D332" s="3">
        <f>SUM(D5:D331)</f>
        <v>1043790344.8100003</v>
      </c>
      <c r="E332" s="3">
        <f>SUM(E5:E331)</f>
        <v>1263521561.8000004</v>
      </c>
      <c r="F332" s="3">
        <f>SUM(F5:F331)</f>
        <v>1484500367.1500003</v>
      </c>
    </row>
  </sheetData>
  <mergeCells count="4">
    <mergeCell ref="B3:B4"/>
    <mergeCell ref="C3:C4"/>
    <mergeCell ref="D3:D4"/>
    <mergeCell ref="F3:F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8"/>
  <sheetViews>
    <sheetView workbookViewId="0">
      <selection activeCell="E2" sqref="E2"/>
    </sheetView>
  </sheetViews>
  <sheetFormatPr defaultRowHeight="15" x14ac:dyDescent="0.25"/>
  <cols>
    <col min="2" max="2" width="9.140625" style="4"/>
    <col min="3" max="3" width="32" bestFit="1" customWidth="1"/>
    <col min="4" max="4" width="22.28515625" bestFit="1" customWidth="1"/>
  </cols>
  <sheetData>
    <row r="1" spans="1:5" x14ac:dyDescent="0.25">
      <c r="A1" t="s">
        <v>673</v>
      </c>
      <c r="B1" s="4" t="s">
        <v>675</v>
      </c>
      <c r="C1" t="s">
        <v>691</v>
      </c>
      <c r="D1" t="s">
        <v>692</v>
      </c>
      <c r="E1" t="s">
        <v>1031</v>
      </c>
    </row>
    <row r="2" spans="1:5" x14ac:dyDescent="0.25">
      <c r="A2">
        <v>2023</v>
      </c>
      <c r="B2" s="4" t="s">
        <v>6</v>
      </c>
      <c r="C2" t="s">
        <v>7</v>
      </c>
      <c r="D2" s="6">
        <v>0</v>
      </c>
    </row>
    <row r="3" spans="1:5" x14ac:dyDescent="0.25">
      <c r="A3">
        <v>2023</v>
      </c>
      <c r="B3" s="4" t="s">
        <v>9</v>
      </c>
      <c r="C3" t="s">
        <v>10</v>
      </c>
      <c r="D3" s="6">
        <v>0</v>
      </c>
    </row>
    <row r="4" spans="1:5" x14ac:dyDescent="0.25">
      <c r="A4">
        <v>2023</v>
      </c>
      <c r="B4" s="4" t="s">
        <v>1</v>
      </c>
      <c r="C4" t="s">
        <v>2</v>
      </c>
      <c r="D4" s="6">
        <v>0</v>
      </c>
    </row>
    <row r="5" spans="1:5" x14ac:dyDescent="0.25">
      <c r="A5">
        <v>2023</v>
      </c>
      <c r="B5" s="4" t="s">
        <v>3</v>
      </c>
      <c r="C5" t="s">
        <v>4</v>
      </c>
      <c r="D5" s="6">
        <v>0</v>
      </c>
    </row>
    <row r="6" spans="1:5" x14ac:dyDescent="0.25">
      <c r="A6">
        <v>2023</v>
      </c>
      <c r="B6" s="4" t="s">
        <v>12</v>
      </c>
      <c r="C6" t="s">
        <v>13</v>
      </c>
      <c r="D6" s="6">
        <v>0</v>
      </c>
    </row>
    <row r="7" spans="1:5" x14ac:dyDescent="0.25">
      <c r="A7">
        <v>2023</v>
      </c>
      <c r="B7" s="4" t="s">
        <v>15</v>
      </c>
      <c r="C7" t="s">
        <v>16</v>
      </c>
      <c r="D7" s="6">
        <v>0</v>
      </c>
    </row>
    <row r="8" spans="1:5" x14ac:dyDescent="0.25">
      <c r="A8">
        <v>2023</v>
      </c>
      <c r="B8" s="4" t="s">
        <v>18</v>
      </c>
      <c r="C8" t="s">
        <v>19</v>
      </c>
      <c r="D8">
        <v>0</v>
      </c>
    </row>
    <row r="9" spans="1:5" x14ac:dyDescent="0.25">
      <c r="A9">
        <v>2023</v>
      </c>
      <c r="B9" s="4" t="s">
        <v>21</v>
      </c>
      <c r="C9" t="s">
        <v>22</v>
      </c>
      <c r="D9">
        <v>0</v>
      </c>
    </row>
    <row r="10" spans="1:5" x14ac:dyDescent="0.25">
      <c r="A10">
        <v>2023</v>
      </c>
      <c r="B10" s="4" t="s">
        <v>23</v>
      </c>
      <c r="C10" t="s">
        <v>24</v>
      </c>
      <c r="D10" s="6">
        <v>385000</v>
      </c>
    </row>
    <row r="11" spans="1:5" x14ac:dyDescent="0.25">
      <c r="A11">
        <v>2023</v>
      </c>
      <c r="B11" s="4" t="s">
        <v>25</v>
      </c>
      <c r="C11" t="s">
        <v>26</v>
      </c>
      <c r="D11" s="6">
        <v>700000</v>
      </c>
    </row>
    <row r="12" spans="1:5" x14ac:dyDescent="0.25">
      <c r="A12">
        <v>2023</v>
      </c>
      <c r="B12" s="4" t="s">
        <v>29</v>
      </c>
      <c r="C12" t="s">
        <v>30</v>
      </c>
      <c r="D12">
        <v>0</v>
      </c>
    </row>
    <row r="13" spans="1:5" x14ac:dyDescent="0.25">
      <c r="A13">
        <v>2023</v>
      </c>
      <c r="B13" s="4" t="s">
        <v>31</v>
      </c>
      <c r="C13" t="s">
        <v>32</v>
      </c>
      <c r="D13">
        <v>0</v>
      </c>
    </row>
    <row r="14" spans="1:5" x14ac:dyDescent="0.25">
      <c r="A14">
        <v>2023</v>
      </c>
      <c r="B14" s="4" t="s">
        <v>33</v>
      </c>
      <c r="C14" t="s">
        <v>34</v>
      </c>
      <c r="D14" s="6">
        <v>1494708</v>
      </c>
    </row>
    <row r="15" spans="1:5" x14ac:dyDescent="0.25">
      <c r="A15">
        <v>2023</v>
      </c>
      <c r="B15" s="4" t="s">
        <v>35</v>
      </c>
      <c r="C15" t="s">
        <v>36</v>
      </c>
      <c r="D15" s="6">
        <v>0</v>
      </c>
    </row>
    <row r="16" spans="1:5" x14ac:dyDescent="0.25">
      <c r="A16">
        <v>2023</v>
      </c>
      <c r="B16" s="4" t="s">
        <v>38</v>
      </c>
      <c r="C16" t="s">
        <v>39</v>
      </c>
      <c r="D16" s="6">
        <v>0</v>
      </c>
    </row>
    <row r="17" spans="1:4" x14ac:dyDescent="0.25">
      <c r="A17">
        <v>2023</v>
      </c>
      <c r="B17" s="4" t="s">
        <v>40</v>
      </c>
      <c r="C17" t="s">
        <v>41</v>
      </c>
      <c r="D17" s="6">
        <v>11017643</v>
      </c>
    </row>
    <row r="18" spans="1:4" x14ac:dyDescent="0.25">
      <c r="A18">
        <v>2023</v>
      </c>
      <c r="B18" s="4" t="s">
        <v>42</v>
      </c>
      <c r="C18" t="s">
        <v>43</v>
      </c>
      <c r="D18" s="6">
        <v>0</v>
      </c>
    </row>
    <row r="19" spans="1:4" x14ac:dyDescent="0.25">
      <c r="A19">
        <v>2023</v>
      </c>
      <c r="B19" s="4" t="s">
        <v>44</v>
      </c>
      <c r="C19" t="s">
        <v>45</v>
      </c>
      <c r="D19" s="6">
        <v>0</v>
      </c>
    </row>
    <row r="20" spans="1:4" x14ac:dyDescent="0.25">
      <c r="A20">
        <v>2023</v>
      </c>
      <c r="B20" s="4" t="s">
        <v>46</v>
      </c>
      <c r="C20" t="s">
        <v>47</v>
      </c>
      <c r="D20" s="6">
        <v>0</v>
      </c>
    </row>
    <row r="21" spans="1:4" x14ac:dyDescent="0.25">
      <c r="A21">
        <v>2023</v>
      </c>
      <c r="B21" s="4" t="s">
        <v>48</v>
      </c>
      <c r="C21" t="s">
        <v>49</v>
      </c>
      <c r="D21" s="6">
        <v>175393</v>
      </c>
    </row>
    <row r="22" spans="1:4" x14ac:dyDescent="0.25">
      <c r="A22">
        <v>2023</v>
      </c>
      <c r="B22" s="4" t="s">
        <v>54</v>
      </c>
      <c r="C22" t="s">
        <v>55</v>
      </c>
      <c r="D22" s="6">
        <v>0</v>
      </c>
    </row>
    <row r="23" spans="1:4" x14ac:dyDescent="0.25">
      <c r="A23">
        <v>2023</v>
      </c>
      <c r="B23" s="4" t="s">
        <v>50</v>
      </c>
      <c r="C23" t="s">
        <v>51</v>
      </c>
      <c r="D23" s="6">
        <v>755203</v>
      </c>
    </row>
    <row r="24" spans="1:4" x14ac:dyDescent="0.25">
      <c r="A24">
        <v>2023</v>
      </c>
      <c r="B24" s="4" t="s">
        <v>52</v>
      </c>
      <c r="C24" t="s">
        <v>53</v>
      </c>
      <c r="D24" s="6">
        <v>432352</v>
      </c>
    </row>
    <row r="25" spans="1:4" x14ac:dyDescent="0.25">
      <c r="A25">
        <v>2023</v>
      </c>
      <c r="B25" s="4" t="s">
        <v>56</v>
      </c>
      <c r="C25" t="s">
        <v>57</v>
      </c>
      <c r="D25" s="6">
        <v>277603</v>
      </c>
    </row>
    <row r="26" spans="1:4" x14ac:dyDescent="0.25">
      <c r="A26">
        <v>2023</v>
      </c>
      <c r="B26" s="4" t="s">
        <v>58</v>
      </c>
      <c r="C26" t="s">
        <v>59</v>
      </c>
      <c r="D26">
        <v>0</v>
      </c>
    </row>
    <row r="27" spans="1:4" x14ac:dyDescent="0.25">
      <c r="A27">
        <v>2023</v>
      </c>
      <c r="B27" s="4" t="s">
        <v>60</v>
      </c>
      <c r="C27" t="s">
        <v>61</v>
      </c>
      <c r="D27" s="6">
        <v>0</v>
      </c>
    </row>
    <row r="28" spans="1:4" x14ac:dyDescent="0.25">
      <c r="A28">
        <v>2023</v>
      </c>
      <c r="B28" s="4" t="s">
        <v>62</v>
      </c>
      <c r="C28" t="s">
        <v>63</v>
      </c>
      <c r="D28" s="6">
        <v>373808</v>
      </c>
    </row>
    <row r="29" spans="1:4" x14ac:dyDescent="0.25">
      <c r="A29">
        <v>2023</v>
      </c>
      <c r="B29" s="4" t="s">
        <v>64</v>
      </c>
      <c r="C29" t="s">
        <v>65</v>
      </c>
      <c r="D29" s="6">
        <v>0</v>
      </c>
    </row>
    <row r="30" spans="1:4" x14ac:dyDescent="0.25">
      <c r="A30">
        <v>2023</v>
      </c>
      <c r="B30" s="4" t="s">
        <v>66</v>
      </c>
      <c r="C30" t="s">
        <v>67</v>
      </c>
      <c r="D30" s="6">
        <v>0</v>
      </c>
    </row>
    <row r="31" spans="1:4" x14ac:dyDescent="0.25">
      <c r="A31">
        <v>2023</v>
      </c>
      <c r="B31" s="4" t="s">
        <v>68</v>
      </c>
      <c r="C31" t="s">
        <v>69</v>
      </c>
      <c r="D31" s="6">
        <v>0</v>
      </c>
    </row>
    <row r="32" spans="1:4" x14ac:dyDescent="0.25">
      <c r="A32">
        <v>2023</v>
      </c>
      <c r="B32" s="4" t="s">
        <v>70</v>
      </c>
      <c r="C32" t="s">
        <v>71</v>
      </c>
      <c r="D32" s="6">
        <v>0</v>
      </c>
    </row>
    <row r="33" spans="1:4" x14ac:dyDescent="0.25">
      <c r="A33">
        <v>2023</v>
      </c>
      <c r="B33" s="4" t="s">
        <v>72</v>
      </c>
      <c r="C33" t="s">
        <v>73</v>
      </c>
      <c r="D33" s="6">
        <v>0</v>
      </c>
    </row>
    <row r="34" spans="1:4" x14ac:dyDescent="0.25">
      <c r="A34">
        <v>2023</v>
      </c>
      <c r="B34" s="4" t="s">
        <v>74</v>
      </c>
      <c r="C34" t="s">
        <v>75</v>
      </c>
      <c r="D34" s="6">
        <v>445000</v>
      </c>
    </row>
    <row r="35" spans="1:4" x14ac:dyDescent="0.25">
      <c r="A35">
        <v>2023</v>
      </c>
      <c r="B35" s="4" t="s">
        <v>76</v>
      </c>
      <c r="C35" t="s">
        <v>77</v>
      </c>
      <c r="D35" s="6">
        <v>0</v>
      </c>
    </row>
    <row r="36" spans="1:4" x14ac:dyDescent="0.25">
      <c r="A36">
        <v>2023</v>
      </c>
      <c r="B36" s="4" t="s">
        <v>78</v>
      </c>
      <c r="C36" t="s">
        <v>79</v>
      </c>
      <c r="D36" s="6">
        <v>14076</v>
      </c>
    </row>
    <row r="37" spans="1:4" x14ac:dyDescent="0.25">
      <c r="A37">
        <v>2023</v>
      </c>
      <c r="B37" s="4" t="s">
        <v>80</v>
      </c>
      <c r="C37" t="s">
        <v>81</v>
      </c>
      <c r="D37">
        <v>0</v>
      </c>
    </row>
    <row r="38" spans="1:4" x14ac:dyDescent="0.25">
      <c r="A38">
        <v>2023</v>
      </c>
      <c r="B38" s="4" t="s">
        <v>82</v>
      </c>
      <c r="C38" t="s">
        <v>83</v>
      </c>
      <c r="D38" s="6">
        <v>148457</v>
      </c>
    </row>
    <row r="39" spans="1:4" x14ac:dyDescent="0.25">
      <c r="A39">
        <v>2023</v>
      </c>
      <c r="B39" s="4" t="s">
        <v>86</v>
      </c>
      <c r="C39" t="s">
        <v>87</v>
      </c>
      <c r="D39" s="6">
        <v>270670</v>
      </c>
    </row>
    <row r="40" spans="1:4" x14ac:dyDescent="0.25">
      <c r="A40">
        <v>2023</v>
      </c>
      <c r="B40" s="4" t="s">
        <v>84</v>
      </c>
      <c r="C40" t="s">
        <v>85</v>
      </c>
      <c r="D40" s="6">
        <v>516214</v>
      </c>
    </row>
    <row r="41" spans="1:4" x14ac:dyDescent="0.25">
      <c r="A41">
        <v>2023</v>
      </c>
      <c r="B41" s="4" t="s">
        <v>88</v>
      </c>
      <c r="C41" t="s">
        <v>89</v>
      </c>
      <c r="D41" s="6">
        <v>784343</v>
      </c>
    </row>
    <row r="42" spans="1:4" x14ac:dyDescent="0.25">
      <c r="A42">
        <v>2023</v>
      </c>
      <c r="B42" s="4" t="s">
        <v>90</v>
      </c>
      <c r="C42" t="s">
        <v>91</v>
      </c>
      <c r="D42" s="6">
        <v>342864</v>
      </c>
    </row>
    <row r="43" spans="1:4" x14ac:dyDescent="0.25">
      <c r="A43">
        <v>2023</v>
      </c>
      <c r="B43" s="4" t="s">
        <v>92</v>
      </c>
      <c r="C43" t="s">
        <v>93</v>
      </c>
      <c r="D43">
        <v>0</v>
      </c>
    </row>
    <row r="44" spans="1:4" x14ac:dyDescent="0.25">
      <c r="A44">
        <v>2023</v>
      </c>
      <c r="B44" s="4" t="s">
        <v>94</v>
      </c>
      <c r="C44" t="s">
        <v>95</v>
      </c>
      <c r="D44" s="6">
        <v>0</v>
      </c>
    </row>
    <row r="45" spans="1:4" x14ac:dyDescent="0.25">
      <c r="A45">
        <v>2023</v>
      </c>
      <c r="B45" s="4" t="s">
        <v>96</v>
      </c>
      <c r="C45" t="s">
        <v>97</v>
      </c>
      <c r="D45" s="6">
        <v>2718067</v>
      </c>
    </row>
    <row r="46" spans="1:4" x14ac:dyDescent="0.25">
      <c r="A46">
        <v>2023</v>
      </c>
      <c r="B46" s="4" t="s">
        <v>98</v>
      </c>
      <c r="C46" t="s">
        <v>99</v>
      </c>
      <c r="D46" s="6">
        <v>14050474</v>
      </c>
    </row>
    <row r="47" spans="1:4" x14ac:dyDescent="0.25">
      <c r="A47">
        <v>2023</v>
      </c>
      <c r="B47" s="4" t="s">
        <v>100</v>
      </c>
      <c r="C47" t="s">
        <v>101</v>
      </c>
      <c r="D47" s="6">
        <v>0</v>
      </c>
    </row>
    <row r="48" spans="1:4" x14ac:dyDescent="0.25">
      <c r="A48">
        <v>2023</v>
      </c>
      <c r="B48" s="4" t="s">
        <v>102</v>
      </c>
      <c r="C48" t="s">
        <v>103</v>
      </c>
      <c r="D48" s="6">
        <v>0</v>
      </c>
    </row>
    <row r="49" spans="1:4" x14ac:dyDescent="0.25">
      <c r="A49">
        <v>2023</v>
      </c>
      <c r="B49" s="4" t="s">
        <v>104</v>
      </c>
      <c r="C49" t="s">
        <v>105</v>
      </c>
      <c r="D49" s="6">
        <v>0</v>
      </c>
    </row>
    <row r="50" spans="1:4" x14ac:dyDescent="0.25">
      <c r="A50">
        <v>2023</v>
      </c>
      <c r="B50" s="4" t="s">
        <v>106</v>
      </c>
      <c r="C50" t="s">
        <v>107</v>
      </c>
      <c r="D50" s="6">
        <v>300000</v>
      </c>
    </row>
    <row r="51" spans="1:4" x14ac:dyDescent="0.25">
      <c r="A51">
        <v>2023</v>
      </c>
      <c r="B51" s="4" t="s">
        <v>108</v>
      </c>
      <c r="C51" t="s">
        <v>109</v>
      </c>
      <c r="D51" s="6">
        <v>960000</v>
      </c>
    </row>
    <row r="52" spans="1:4" x14ac:dyDescent="0.25">
      <c r="A52">
        <v>2023</v>
      </c>
      <c r="B52" s="4" t="s">
        <v>110</v>
      </c>
      <c r="C52" t="s">
        <v>111</v>
      </c>
      <c r="D52" s="6">
        <v>0</v>
      </c>
    </row>
    <row r="53" spans="1:4" x14ac:dyDescent="0.25">
      <c r="A53">
        <v>2023</v>
      </c>
      <c r="B53" s="4" t="s">
        <v>112</v>
      </c>
      <c r="C53" t="s">
        <v>113</v>
      </c>
      <c r="D53" s="6">
        <v>0</v>
      </c>
    </row>
    <row r="54" spans="1:4" x14ac:dyDescent="0.25">
      <c r="A54">
        <v>2023</v>
      </c>
      <c r="B54" s="4" t="s">
        <v>114</v>
      </c>
      <c r="C54" t="s">
        <v>115</v>
      </c>
      <c r="D54" s="6">
        <v>139451</v>
      </c>
    </row>
    <row r="55" spans="1:4" x14ac:dyDescent="0.25">
      <c r="A55">
        <v>2023</v>
      </c>
      <c r="B55" s="4" t="s">
        <v>116</v>
      </c>
      <c r="C55" t="s">
        <v>117</v>
      </c>
      <c r="D55" s="6">
        <v>0</v>
      </c>
    </row>
    <row r="56" spans="1:4" x14ac:dyDescent="0.25">
      <c r="A56">
        <v>2023</v>
      </c>
      <c r="B56" s="4" t="s">
        <v>118</v>
      </c>
      <c r="C56" t="s">
        <v>119</v>
      </c>
      <c r="D56" s="6">
        <v>605663</v>
      </c>
    </row>
    <row r="57" spans="1:4" x14ac:dyDescent="0.25">
      <c r="A57">
        <v>2023</v>
      </c>
      <c r="B57" s="4" t="s">
        <v>120</v>
      </c>
      <c r="C57" t="s">
        <v>121</v>
      </c>
      <c r="D57" s="6">
        <v>1122000</v>
      </c>
    </row>
    <row r="58" spans="1:4" x14ac:dyDescent="0.25">
      <c r="A58">
        <v>2023</v>
      </c>
      <c r="B58" s="4" t="s">
        <v>122</v>
      </c>
      <c r="C58" t="s">
        <v>123</v>
      </c>
      <c r="D58" s="6">
        <v>0</v>
      </c>
    </row>
    <row r="59" spans="1:4" x14ac:dyDescent="0.25">
      <c r="A59">
        <v>2023</v>
      </c>
      <c r="B59" s="4" t="s">
        <v>124</v>
      </c>
      <c r="C59" t="s">
        <v>125</v>
      </c>
      <c r="D59" s="6">
        <v>0</v>
      </c>
    </row>
    <row r="60" spans="1:4" x14ac:dyDescent="0.25">
      <c r="A60">
        <v>2023</v>
      </c>
      <c r="B60" s="4" t="s">
        <v>126</v>
      </c>
      <c r="C60" t="s">
        <v>127</v>
      </c>
      <c r="D60" s="6">
        <v>181870</v>
      </c>
    </row>
    <row r="61" spans="1:4" x14ac:dyDescent="0.25">
      <c r="A61">
        <v>2023</v>
      </c>
      <c r="B61" s="4" t="s">
        <v>128</v>
      </c>
      <c r="C61" t="s">
        <v>129</v>
      </c>
      <c r="D61" s="6">
        <v>1000000</v>
      </c>
    </row>
    <row r="62" spans="1:4" x14ac:dyDescent="0.25">
      <c r="A62">
        <v>2023</v>
      </c>
      <c r="B62" s="4" t="s">
        <v>131</v>
      </c>
      <c r="C62" t="s">
        <v>132</v>
      </c>
      <c r="D62" s="6">
        <v>1004300</v>
      </c>
    </row>
    <row r="63" spans="1:4" x14ac:dyDescent="0.25">
      <c r="A63">
        <v>2023</v>
      </c>
      <c r="B63" s="4" t="s">
        <v>133</v>
      </c>
      <c r="C63" t="s">
        <v>134</v>
      </c>
      <c r="D63" s="6">
        <v>0</v>
      </c>
    </row>
    <row r="64" spans="1:4" x14ac:dyDescent="0.25">
      <c r="A64">
        <v>2023</v>
      </c>
      <c r="B64" s="4" t="s">
        <v>135</v>
      </c>
      <c r="C64" t="s">
        <v>136</v>
      </c>
      <c r="D64">
        <v>0</v>
      </c>
    </row>
    <row r="65" spans="1:4" x14ac:dyDescent="0.25">
      <c r="A65">
        <v>2023</v>
      </c>
      <c r="B65" s="4" t="s">
        <v>137</v>
      </c>
      <c r="C65" t="s">
        <v>138</v>
      </c>
      <c r="D65" s="6">
        <v>200000</v>
      </c>
    </row>
    <row r="66" spans="1:4" x14ac:dyDescent="0.25">
      <c r="A66">
        <v>2023</v>
      </c>
      <c r="B66" s="4" t="s">
        <v>139</v>
      </c>
      <c r="C66" t="s">
        <v>140</v>
      </c>
      <c r="D66" s="6">
        <v>4575000</v>
      </c>
    </row>
    <row r="67" spans="1:4" x14ac:dyDescent="0.25">
      <c r="A67">
        <v>2023</v>
      </c>
      <c r="B67" s="4" t="s">
        <v>142</v>
      </c>
      <c r="C67" t="s">
        <v>143</v>
      </c>
      <c r="D67" s="6">
        <v>0</v>
      </c>
    </row>
    <row r="68" spans="1:4" x14ac:dyDescent="0.25">
      <c r="A68">
        <v>2023</v>
      </c>
      <c r="B68" s="4" t="s">
        <v>144</v>
      </c>
      <c r="C68" t="s">
        <v>145</v>
      </c>
      <c r="D68" s="6">
        <v>0</v>
      </c>
    </row>
    <row r="69" spans="1:4" x14ac:dyDescent="0.25">
      <c r="A69">
        <v>2023</v>
      </c>
      <c r="B69" s="4" t="s">
        <v>146</v>
      </c>
      <c r="C69" t="s">
        <v>147</v>
      </c>
      <c r="D69" s="6">
        <v>335921</v>
      </c>
    </row>
    <row r="70" spans="1:4" x14ac:dyDescent="0.25">
      <c r="A70">
        <v>2023</v>
      </c>
      <c r="B70" s="4" t="s">
        <v>148</v>
      </c>
      <c r="C70" t="s">
        <v>149</v>
      </c>
      <c r="D70" s="6">
        <v>0</v>
      </c>
    </row>
    <row r="71" spans="1:4" x14ac:dyDescent="0.25">
      <c r="A71">
        <v>2023</v>
      </c>
      <c r="B71" s="4" t="s">
        <v>150</v>
      </c>
      <c r="C71" t="s">
        <v>151</v>
      </c>
      <c r="D71" s="6">
        <v>828701</v>
      </c>
    </row>
    <row r="72" spans="1:4" x14ac:dyDescent="0.25">
      <c r="A72">
        <v>2023</v>
      </c>
      <c r="B72" s="4" t="s">
        <v>152</v>
      </c>
      <c r="C72" t="s">
        <v>153</v>
      </c>
      <c r="D72" s="6">
        <v>426890</v>
      </c>
    </row>
    <row r="73" spans="1:4" x14ac:dyDescent="0.25">
      <c r="A73">
        <v>2023</v>
      </c>
      <c r="B73" s="4" t="s">
        <v>154</v>
      </c>
      <c r="C73" t="s">
        <v>155</v>
      </c>
      <c r="D73" s="6">
        <v>0</v>
      </c>
    </row>
    <row r="74" spans="1:4" x14ac:dyDescent="0.25">
      <c r="A74">
        <v>2023</v>
      </c>
      <c r="B74" s="4" t="s">
        <v>156</v>
      </c>
      <c r="C74" t="s">
        <v>157</v>
      </c>
      <c r="D74" s="6">
        <v>0</v>
      </c>
    </row>
    <row r="75" spans="1:4" x14ac:dyDescent="0.25">
      <c r="A75">
        <v>2023</v>
      </c>
      <c r="B75" s="4" t="s">
        <v>158</v>
      </c>
      <c r="C75" t="s">
        <v>159</v>
      </c>
      <c r="D75" s="6">
        <v>0</v>
      </c>
    </row>
    <row r="76" spans="1:4" x14ac:dyDescent="0.25">
      <c r="A76">
        <v>2023</v>
      </c>
      <c r="B76" s="4" t="s">
        <v>160</v>
      </c>
      <c r="C76" t="s">
        <v>161</v>
      </c>
      <c r="D76" s="6">
        <v>5250000</v>
      </c>
    </row>
    <row r="77" spans="1:4" x14ac:dyDescent="0.25">
      <c r="A77">
        <v>2023</v>
      </c>
      <c r="B77" s="4" t="s">
        <v>162</v>
      </c>
      <c r="C77" t="s">
        <v>163</v>
      </c>
      <c r="D77" s="6">
        <v>1196000</v>
      </c>
    </row>
    <row r="78" spans="1:4" x14ac:dyDescent="0.25">
      <c r="A78">
        <v>2023</v>
      </c>
      <c r="B78" s="4" t="s">
        <v>165</v>
      </c>
      <c r="C78" t="s">
        <v>166</v>
      </c>
      <c r="D78" s="6">
        <v>3059156</v>
      </c>
    </row>
    <row r="79" spans="1:4" x14ac:dyDescent="0.25">
      <c r="A79">
        <v>2023</v>
      </c>
      <c r="B79" s="4" t="s">
        <v>167</v>
      </c>
      <c r="C79" t="s">
        <v>168</v>
      </c>
      <c r="D79" s="6">
        <v>0</v>
      </c>
    </row>
    <row r="80" spans="1:4" x14ac:dyDescent="0.25">
      <c r="A80">
        <v>2023</v>
      </c>
      <c r="B80" s="4" t="s">
        <v>169</v>
      </c>
      <c r="C80" t="s">
        <v>170</v>
      </c>
      <c r="D80" s="6">
        <v>11523181</v>
      </c>
    </row>
    <row r="81" spans="1:4" x14ac:dyDescent="0.25">
      <c r="A81">
        <v>2023</v>
      </c>
      <c r="B81" s="4" t="s">
        <v>171</v>
      </c>
      <c r="C81" t="s">
        <v>172</v>
      </c>
      <c r="D81" s="6">
        <v>0</v>
      </c>
    </row>
    <row r="82" spans="1:4" x14ac:dyDescent="0.25">
      <c r="A82">
        <v>2023</v>
      </c>
      <c r="B82" s="4" t="s">
        <v>173</v>
      </c>
      <c r="C82" t="s">
        <v>174</v>
      </c>
      <c r="D82" s="6">
        <v>213294</v>
      </c>
    </row>
    <row r="83" spans="1:4" x14ac:dyDescent="0.25">
      <c r="A83">
        <v>2023</v>
      </c>
      <c r="B83" s="4" t="s">
        <v>175</v>
      </c>
      <c r="C83" t="s">
        <v>176</v>
      </c>
      <c r="D83" s="6">
        <v>0</v>
      </c>
    </row>
    <row r="84" spans="1:4" x14ac:dyDescent="0.25">
      <c r="A84">
        <v>2023</v>
      </c>
      <c r="B84" s="4" t="s">
        <v>177</v>
      </c>
      <c r="C84" t="s">
        <v>178</v>
      </c>
      <c r="D84" s="6">
        <v>0</v>
      </c>
    </row>
    <row r="85" spans="1:4" x14ac:dyDescent="0.25">
      <c r="A85">
        <v>2023</v>
      </c>
      <c r="B85" s="4" t="s">
        <v>179</v>
      </c>
      <c r="C85" t="s">
        <v>180</v>
      </c>
      <c r="D85" s="6">
        <v>400000</v>
      </c>
    </row>
    <row r="86" spans="1:4" x14ac:dyDescent="0.25">
      <c r="A86">
        <v>2023</v>
      </c>
      <c r="B86" s="4" t="s">
        <v>181</v>
      </c>
      <c r="C86" t="s">
        <v>182</v>
      </c>
      <c r="D86" s="6">
        <v>0</v>
      </c>
    </row>
    <row r="87" spans="1:4" x14ac:dyDescent="0.25">
      <c r="A87">
        <v>2023</v>
      </c>
      <c r="B87" s="4" t="s">
        <v>183</v>
      </c>
      <c r="C87" t="s">
        <v>184</v>
      </c>
      <c r="D87" s="6">
        <v>163139</v>
      </c>
    </row>
    <row r="88" spans="1:4" x14ac:dyDescent="0.25">
      <c r="A88">
        <v>2023</v>
      </c>
      <c r="B88" s="4" t="s">
        <v>185</v>
      </c>
      <c r="C88" t="s">
        <v>186</v>
      </c>
      <c r="D88" s="6">
        <v>385000</v>
      </c>
    </row>
    <row r="89" spans="1:4" x14ac:dyDescent="0.25">
      <c r="A89">
        <v>2023</v>
      </c>
      <c r="B89" s="4" t="s">
        <v>187</v>
      </c>
      <c r="C89" t="s">
        <v>188</v>
      </c>
      <c r="D89" s="6">
        <v>4613729</v>
      </c>
    </row>
    <row r="90" spans="1:4" x14ac:dyDescent="0.25">
      <c r="A90">
        <v>2023</v>
      </c>
      <c r="B90" s="4" t="s">
        <v>189</v>
      </c>
      <c r="C90" t="s">
        <v>190</v>
      </c>
      <c r="D90">
        <v>0</v>
      </c>
    </row>
    <row r="91" spans="1:4" x14ac:dyDescent="0.25">
      <c r="A91">
        <v>2023</v>
      </c>
      <c r="B91" s="4" t="s">
        <v>191</v>
      </c>
      <c r="C91" t="s">
        <v>192</v>
      </c>
      <c r="D91" s="6">
        <v>0</v>
      </c>
    </row>
    <row r="92" spans="1:4" x14ac:dyDescent="0.25">
      <c r="A92">
        <v>2023</v>
      </c>
      <c r="B92" s="4" t="s">
        <v>193</v>
      </c>
      <c r="C92" t="s">
        <v>194</v>
      </c>
      <c r="D92" s="6">
        <v>0</v>
      </c>
    </row>
    <row r="93" spans="1:4" x14ac:dyDescent="0.25">
      <c r="A93">
        <v>2023</v>
      </c>
      <c r="B93" s="4" t="s">
        <v>195</v>
      </c>
      <c r="C93" t="s">
        <v>196</v>
      </c>
      <c r="D93" s="6">
        <v>0</v>
      </c>
    </row>
    <row r="94" spans="1:4" x14ac:dyDescent="0.25">
      <c r="A94">
        <v>2023</v>
      </c>
      <c r="B94" s="4" t="s">
        <v>197</v>
      </c>
      <c r="C94" t="s">
        <v>198</v>
      </c>
      <c r="D94" s="6">
        <v>0</v>
      </c>
    </row>
    <row r="95" spans="1:4" x14ac:dyDescent="0.25">
      <c r="A95">
        <v>2023</v>
      </c>
      <c r="B95" s="4" t="s">
        <v>199</v>
      </c>
      <c r="C95" t="s">
        <v>201</v>
      </c>
      <c r="D95" s="6">
        <v>0</v>
      </c>
    </row>
    <row r="96" spans="1:4" x14ac:dyDescent="0.25">
      <c r="A96">
        <v>2023</v>
      </c>
      <c r="B96" s="4" t="s">
        <v>202</v>
      </c>
      <c r="C96" t="s">
        <v>203</v>
      </c>
      <c r="D96" s="6">
        <v>0</v>
      </c>
    </row>
    <row r="97" spans="1:4" x14ac:dyDescent="0.25">
      <c r="A97">
        <v>2023</v>
      </c>
      <c r="B97" s="4" t="s">
        <v>204</v>
      </c>
      <c r="C97" t="s">
        <v>205</v>
      </c>
      <c r="D97" s="6">
        <v>165642</v>
      </c>
    </row>
    <row r="98" spans="1:4" x14ac:dyDescent="0.25">
      <c r="A98">
        <v>2023</v>
      </c>
      <c r="B98" s="4" t="s">
        <v>206</v>
      </c>
      <c r="C98" t="s">
        <v>207</v>
      </c>
      <c r="D98" s="6">
        <v>0</v>
      </c>
    </row>
    <row r="99" spans="1:4" x14ac:dyDescent="0.25">
      <c r="A99">
        <v>2023</v>
      </c>
      <c r="B99" s="4" t="s">
        <v>208</v>
      </c>
      <c r="C99" t="s">
        <v>209</v>
      </c>
      <c r="D99" s="6">
        <v>80000</v>
      </c>
    </row>
    <row r="100" spans="1:4" x14ac:dyDescent="0.25">
      <c r="A100">
        <v>2023</v>
      </c>
      <c r="B100" s="4" t="s">
        <v>210</v>
      </c>
      <c r="C100" t="s">
        <v>211</v>
      </c>
      <c r="D100" s="6">
        <v>67686</v>
      </c>
    </row>
    <row r="101" spans="1:4" x14ac:dyDescent="0.25">
      <c r="A101">
        <v>2023</v>
      </c>
      <c r="B101" s="4" t="s">
        <v>212</v>
      </c>
      <c r="C101" t="s">
        <v>213</v>
      </c>
      <c r="D101" s="6">
        <v>0</v>
      </c>
    </row>
    <row r="102" spans="1:4" x14ac:dyDescent="0.25">
      <c r="A102">
        <v>2023</v>
      </c>
      <c r="B102" s="4" t="s">
        <v>214</v>
      </c>
      <c r="C102" t="s">
        <v>215</v>
      </c>
      <c r="D102" s="6">
        <v>0</v>
      </c>
    </row>
    <row r="103" spans="1:4" x14ac:dyDescent="0.25">
      <c r="A103">
        <v>2023</v>
      </c>
      <c r="B103" s="4" t="s">
        <v>216</v>
      </c>
      <c r="C103" t="s">
        <v>217</v>
      </c>
      <c r="D103">
        <v>0</v>
      </c>
    </row>
    <row r="104" spans="1:4" x14ac:dyDescent="0.25">
      <c r="A104">
        <v>2023</v>
      </c>
      <c r="B104" s="4" t="s">
        <v>218</v>
      </c>
      <c r="C104" t="s">
        <v>219</v>
      </c>
      <c r="D104" s="6">
        <v>0</v>
      </c>
    </row>
    <row r="105" spans="1:4" x14ac:dyDescent="0.25">
      <c r="A105">
        <v>2023</v>
      </c>
      <c r="B105" s="4" t="s">
        <v>220</v>
      </c>
      <c r="C105" t="s">
        <v>221</v>
      </c>
      <c r="D105" s="6">
        <v>0</v>
      </c>
    </row>
    <row r="106" spans="1:4" x14ac:dyDescent="0.25">
      <c r="A106">
        <v>2023</v>
      </c>
      <c r="B106" s="4" t="s">
        <v>222</v>
      </c>
      <c r="C106" t="s">
        <v>223</v>
      </c>
      <c r="D106" s="6">
        <v>350000</v>
      </c>
    </row>
    <row r="107" spans="1:4" x14ac:dyDescent="0.25">
      <c r="A107">
        <v>2023</v>
      </c>
      <c r="B107" s="4" t="s">
        <v>224</v>
      </c>
      <c r="C107" t="s">
        <v>225</v>
      </c>
      <c r="D107" s="6">
        <v>1073351</v>
      </c>
    </row>
    <row r="108" spans="1:4" x14ac:dyDescent="0.25">
      <c r="A108">
        <v>2023</v>
      </c>
      <c r="B108" s="4" t="s">
        <v>226</v>
      </c>
      <c r="C108" t="s">
        <v>227</v>
      </c>
      <c r="D108">
        <v>0</v>
      </c>
    </row>
    <row r="109" spans="1:4" x14ac:dyDescent="0.25">
      <c r="A109">
        <v>2023</v>
      </c>
      <c r="B109" s="4" t="s">
        <v>228</v>
      </c>
      <c r="C109" t="s">
        <v>229</v>
      </c>
      <c r="D109" s="6">
        <v>800000</v>
      </c>
    </row>
    <row r="110" spans="1:4" x14ac:dyDescent="0.25">
      <c r="A110">
        <v>2023</v>
      </c>
      <c r="B110" s="4" t="s">
        <v>230</v>
      </c>
      <c r="C110" t="s">
        <v>231</v>
      </c>
      <c r="D110" s="6">
        <v>0</v>
      </c>
    </row>
    <row r="111" spans="1:4" x14ac:dyDescent="0.25">
      <c r="A111">
        <v>2023</v>
      </c>
      <c r="B111" s="4" t="s">
        <v>232</v>
      </c>
      <c r="C111" t="s">
        <v>233</v>
      </c>
      <c r="D111" s="6">
        <v>500000</v>
      </c>
    </row>
    <row r="112" spans="1:4" x14ac:dyDescent="0.25">
      <c r="A112">
        <v>2023</v>
      </c>
      <c r="B112" s="4" t="s">
        <v>234</v>
      </c>
      <c r="C112" t="s">
        <v>235</v>
      </c>
      <c r="D112" s="6">
        <v>0</v>
      </c>
    </row>
    <row r="113" spans="1:4" x14ac:dyDescent="0.25">
      <c r="A113">
        <v>2023</v>
      </c>
      <c r="B113" s="4" t="s">
        <v>236</v>
      </c>
      <c r="C113" t="s">
        <v>237</v>
      </c>
      <c r="D113" s="6">
        <v>690000</v>
      </c>
    </row>
    <row r="114" spans="1:4" x14ac:dyDescent="0.25">
      <c r="A114">
        <v>2023</v>
      </c>
      <c r="B114" s="4" t="s">
        <v>254</v>
      </c>
      <c r="C114" t="s">
        <v>255</v>
      </c>
      <c r="D114">
        <v>0</v>
      </c>
    </row>
    <row r="115" spans="1:4" x14ac:dyDescent="0.25">
      <c r="A115">
        <v>2023</v>
      </c>
      <c r="B115" s="4" t="s">
        <v>238</v>
      </c>
      <c r="C115" t="s">
        <v>239</v>
      </c>
      <c r="D115" s="6">
        <v>0</v>
      </c>
    </row>
    <row r="116" spans="1:4" x14ac:dyDescent="0.25">
      <c r="A116">
        <v>2023</v>
      </c>
      <c r="B116" s="4" t="s">
        <v>240</v>
      </c>
      <c r="C116" t="s">
        <v>241</v>
      </c>
      <c r="D116" s="6">
        <v>525804</v>
      </c>
    </row>
    <row r="117" spans="1:4" x14ac:dyDescent="0.25">
      <c r="A117">
        <v>2023</v>
      </c>
      <c r="B117" s="4" t="s">
        <v>242</v>
      </c>
      <c r="C117" t="s">
        <v>243</v>
      </c>
      <c r="D117" s="6">
        <v>0</v>
      </c>
    </row>
    <row r="118" spans="1:4" x14ac:dyDescent="0.25">
      <c r="A118">
        <v>2023</v>
      </c>
      <c r="B118" s="4" t="s">
        <v>244</v>
      </c>
      <c r="C118" t="s">
        <v>245</v>
      </c>
      <c r="D118" s="6">
        <v>213951</v>
      </c>
    </row>
    <row r="119" spans="1:4" x14ac:dyDescent="0.25">
      <c r="A119">
        <v>2023</v>
      </c>
      <c r="B119" s="4" t="s">
        <v>246</v>
      </c>
      <c r="C119" t="s">
        <v>247</v>
      </c>
      <c r="D119" s="6">
        <v>400000</v>
      </c>
    </row>
    <row r="120" spans="1:4" x14ac:dyDescent="0.25">
      <c r="A120">
        <v>2023</v>
      </c>
      <c r="B120" s="4" t="s">
        <v>248</v>
      </c>
      <c r="C120" t="s">
        <v>249</v>
      </c>
      <c r="D120" s="6">
        <v>0</v>
      </c>
    </row>
    <row r="121" spans="1:4" x14ac:dyDescent="0.25">
      <c r="A121">
        <v>2023</v>
      </c>
      <c r="B121" s="4" t="s">
        <v>250</v>
      </c>
      <c r="C121" t="s">
        <v>251</v>
      </c>
      <c r="D121" s="6">
        <v>900000</v>
      </c>
    </row>
    <row r="122" spans="1:4" x14ac:dyDescent="0.25">
      <c r="A122">
        <v>2023</v>
      </c>
      <c r="B122" s="4" t="s">
        <v>252</v>
      </c>
      <c r="C122" t="s">
        <v>253</v>
      </c>
      <c r="D122">
        <v>0</v>
      </c>
    </row>
    <row r="123" spans="1:4" x14ac:dyDescent="0.25">
      <c r="A123">
        <v>2023</v>
      </c>
      <c r="B123" s="4" t="s">
        <v>256</v>
      </c>
      <c r="C123" t="s">
        <v>257</v>
      </c>
      <c r="D123" s="6">
        <v>715000</v>
      </c>
    </row>
    <row r="124" spans="1:4" x14ac:dyDescent="0.25">
      <c r="A124">
        <v>2023</v>
      </c>
      <c r="B124" s="4" t="s">
        <v>258</v>
      </c>
      <c r="C124" t="s">
        <v>259</v>
      </c>
      <c r="D124" s="6">
        <v>900000</v>
      </c>
    </row>
    <row r="125" spans="1:4" x14ac:dyDescent="0.25">
      <c r="A125">
        <v>2023</v>
      </c>
      <c r="B125" s="4" t="s">
        <v>260</v>
      </c>
      <c r="C125" t="s">
        <v>261</v>
      </c>
      <c r="D125" s="6">
        <v>1226959</v>
      </c>
    </row>
    <row r="126" spans="1:4" x14ac:dyDescent="0.25">
      <c r="A126">
        <v>2023</v>
      </c>
      <c r="B126" s="4" t="s">
        <v>262</v>
      </c>
      <c r="C126" t="s">
        <v>263</v>
      </c>
      <c r="D126" s="6">
        <v>0</v>
      </c>
    </row>
    <row r="127" spans="1:4" x14ac:dyDescent="0.25">
      <c r="A127">
        <v>2023</v>
      </c>
      <c r="B127" s="4" t="s">
        <v>264</v>
      </c>
      <c r="C127" t="s">
        <v>265</v>
      </c>
      <c r="D127" s="6">
        <v>755000</v>
      </c>
    </row>
    <row r="128" spans="1:4" x14ac:dyDescent="0.25">
      <c r="A128">
        <v>2023</v>
      </c>
      <c r="B128" s="4" t="s">
        <v>266</v>
      </c>
      <c r="C128" t="s">
        <v>267</v>
      </c>
      <c r="D128" s="6">
        <v>0</v>
      </c>
    </row>
    <row r="129" spans="1:4" x14ac:dyDescent="0.25">
      <c r="A129">
        <v>2023</v>
      </c>
      <c r="B129" s="4" t="s">
        <v>282</v>
      </c>
      <c r="C129" t="s">
        <v>283</v>
      </c>
      <c r="D129" s="6">
        <v>50797</v>
      </c>
    </row>
    <row r="130" spans="1:4" x14ac:dyDescent="0.25">
      <c r="A130">
        <v>2023</v>
      </c>
      <c r="B130" s="4" t="s">
        <v>268</v>
      </c>
      <c r="C130" t="s">
        <v>269</v>
      </c>
      <c r="D130">
        <v>0</v>
      </c>
    </row>
    <row r="131" spans="1:4" x14ac:dyDescent="0.25">
      <c r="A131">
        <v>2023</v>
      </c>
      <c r="B131" s="4" t="s">
        <v>270</v>
      </c>
      <c r="C131" t="s">
        <v>271</v>
      </c>
      <c r="D131" s="6">
        <v>693006</v>
      </c>
    </row>
    <row r="132" spans="1:4" x14ac:dyDescent="0.25">
      <c r="A132">
        <v>2023</v>
      </c>
      <c r="B132" s="4" t="s">
        <v>272</v>
      </c>
      <c r="C132" t="s">
        <v>273</v>
      </c>
      <c r="D132" s="6">
        <v>440000</v>
      </c>
    </row>
    <row r="133" spans="1:4" x14ac:dyDescent="0.25">
      <c r="A133">
        <v>2023</v>
      </c>
      <c r="B133" s="4" t="s">
        <v>274</v>
      </c>
      <c r="C133" t="s">
        <v>275</v>
      </c>
      <c r="D133" s="6">
        <v>0</v>
      </c>
    </row>
    <row r="134" spans="1:4" x14ac:dyDescent="0.25">
      <c r="A134">
        <v>2023</v>
      </c>
      <c r="B134" s="4" t="s">
        <v>276</v>
      </c>
      <c r="C134" t="s">
        <v>277</v>
      </c>
      <c r="D134" s="6">
        <v>33086</v>
      </c>
    </row>
    <row r="135" spans="1:4" x14ac:dyDescent="0.25">
      <c r="A135">
        <v>2023</v>
      </c>
      <c r="B135" s="4" t="s">
        <v>278</v>
      </c>
      <c r="C135" t="s">
        <v>279</v>
      </c>
      <c r="D135" s="6">
        <v>0</v>
      </c>
    </row>
    <row r="136" spans="1:4" x14ac:dyDescent="0.25">
      <c r="A136">
        <v>2023</v>
      </c>
      <c r="B136" s="4" t="s">
        <v>280</v>
      </c>
      <c r="C136" t="s">
        <v>281</v>
      </c>
      <c r="D136" s="6">
        <v>0</v>
      </c>
    </row>
    <row r="137" spans="1:4" x14ac:dyDescent="0.25">
      <c r="A137">
        <v>2023</v>
      </c>
      <c r="B137" s="4" t="s">
        <v>284</v>
      </c>
      <c r="C137" t="s">
        <v>285</v>
      </c>
      <c r="D137" s="6">
        <v>396367</v>
      </c>
    </row>
    <row r="138" spans="1:4" x14ac:dyDescent="0.25">
      <c r="A138">
        <v>2023</v>
      </c>
      <c r="B138" s="4" t="s">
        <v>286</v>
      </c>
      <c r="C138" t="s">
        <v>287</v>
      </c>
      <c r="D138" s="6">
        <v>75818</v>
      </c>
    </row>
    <row r="139" spans="1:4" x14ac:dyDescent="0.25">
      <c r="A139">
        <v>2023</v>
      </c>
      <c r="B139" s="4" t="s">
        <v>288</v>
      </c>
      <c r="C139" t="s">
        <v>289</v>
      </c>
      <c r="D139" s="6">
        <v>0</v>
      </c>
    </row>
    <row r="140" spans="1:4" x14ac:dyDescent="0.25">
      <c r="A140">
        <v>2023</v>
      </c>
      <c r="B140" s="4" t="s">
        <v>290</v>
      </c>
      <c r="C140" t="s">
        <v>291</v>
      </c>
      <c r="D140" s="6">
        <v>250000</v>
      </c>
    </row>
    <row r="141" spans="1:4" x14ac:dyDescent="0.25">
      <c r="A141">
        <v>2023</v>
      </c>
      <c r="B141" s="4" t="s">
        <v>292</v>
      </c>
      <c r="C141" t="s">
        <v>687</v>
      </c>
      <c r="D141">
        <v>0</v>
      </c>
    </row>
    <row r="142" spans="1:4" x14ac:dyDescent="0.25">
      <c r="A142">
        <v>2023</v>
      </c>
      <c r="B142" s="4" t="s">
        <v>293</v>
      </c>
      <c r="C142" t="s">
        <v>294</v>
      </c>
      <c r="D142" s="6">
        <v>0</v>
      </c>
    </row>
    <row r="143" spans="1:4" x14ac:dyDescent="0.25">
      <c r="A143">
        <v>2023</v>
      </c>
      <c r="B143" s="4" t="s">
        <v>295</v>
      </c>
      <c r="C143" t="s">
        <v>296</v>
      </c>
      <c r="D143" s="6">
        <v>600534</v>
      </c>
    </row>
    <row r="144" spans="1:4" x14ac:dyDescent="0.25">
      <c r="A144">
        <v>2023</v>
      </c>
      <c r="B144" s="4" t="s">
        <v>297</v>
      </c>
      <c r="C144" t="s">
        <v>298</v>
      </c>
      <c r="D144" s="6">
        <v>371912</v>
      </c>
    </row>
    <row r="145" spans="1:4" x14ac:dyDescent="0.25">
      <c r="A145">
        <v>2023</v>
      </c>
      <c r="B145" s="4" t="s">
        <v>299</v>
      </c>
      <c r="C145" t="s">
        <v>300</v>
      </c>
      <c r="D145" s="6">
        <v>17500000</v>
      </c>
    </row>
    <row r="146" spans="1:4" x14ac:dyDescent="0.25">
      <c r="A146">
        <v>2023</v>
      </c>
      <c r="B146" s="4" t="s">
        <v>301</v>
      </c>
      <c r="C146" t="s">
        <v>302</v>
      </c>
      <c r="D146" s="6">
        <v>0</v>
      </c>
    </row>
    <row r="147" spans="1:4" x14ac:dyDescent="0.25">
      <c r="A147">
        <v>2023</v>
      </c>
      <c r="B147" s="4" t="s">
        <v>303</v>
      </c>
      <c r="C147" t="s">
        <v>304</v>
      </c>
      <c r="D147" s="6">
        <v>0</v>
      </c>
    </row>
    <row r="148" spans="1:4" x14ac:dyDescent="0.25">
      <c r="A148">
        <v>2023</v>
      </c>
      <c r="B148" s="4" t="s">
        <v>305</v>
      </c>
      <c r="C148" t="s">
        <v>306</v>
      </c>
      <c r="D148" s="6">
        <v>0</v>
      </c>
    </row>
    <row r="149" spans="1:4" x14ac:dyDescent="0.25">
      <c r="A149">
        <v>2023</v>
      </c>
      <c r="B149" s="4" t="s">
        <v>307</v>
      </c>
      <c r="C149" t="s">
        <v>308</v>
      </c>
      <c r="D149" s="6">
        <v>0</v>
      </c>
    </row>
    <row r="150" spans="1:4" x14ac:dyDescent="0.25">
      <c r="A150">
        <v>2023</v>
      </c>
      <c r="B150" s="4" t="s">
        <v>309</v>
      </c>
      <c r="C150" t="s">
        <v>310</v>
      </c>
      <c r="D150" s="6">
        <v>3534875</v>
      </c>
    </row>
    <row r="151" spans="1:4" x14ac:dyDescent="0.25">
      <c r="A151">
        <v>2023</v>
      </c>
      <c r="B151" s="4" t="s">
        <v>311</v>
      </c>
      <c r="C151" t="s">
        <v>312</v>
      </c>
      <c r="D151" s="6">
        <v>0</v>
      </c>
    </row>
    <row r="152" spans="1:4" x14ac:dyDescent="0.25">
      <c r="A152">
        <v>2023</v>
      </c>
      <c r="B152" s="4" t="s">
        <v>313</v>
      </c>
      <c r="C152" t="s">
        <v>314</v>
      </c>
      <c r="D152" s="6">
        <v>387834</v>
      </c>
    </row>
    <row r="153" spans="1:4" x14ac:dyDescent="0.25">
      <c r="A153">
        <v>2023</v>
      </c>
      <c r="B153" s="4" t="s">
        <v>315</v>
      </c>
      <c r="C153" t="s">
        <v>316</v>
      </c>
      <c r="D153" s="6">
        <v>0</v>
      </c>
    </row>
    <row r="154" spans="1:4" x14ac:dyDescent="0.25">
      <c r="A154">
        <v>2023</v>
      </c>
      <c r="B154" s="4" t="s">
        <v>317</v>
      </c>
      <c r="C154" t="s">
        <v>318</v>
      </c>
      <c r="D154" s="6">
        <v>650858</v>
      </c>
    </row>
    <row r="155" spans="1:4" x14ac:dyDescent="0.25">
      <c r="A155">
        <v>2023</v>
      </c>
      <c r="B155" s="4" t="s">
        <v>319</v>
      </c>
      <c r="C155" t="s">
        <v>320</v>
      </c>
      <c r="D155" s="6">
        <v>0</v>
      </c>
    </row>
    <row r="156" spans="1:4" x14ac:dyDescent="0.25">
      <c r="A156">
        <v>2023</v>
      </c>
      <c r="B156" s="4" t="s">
        <v>321</v>
      </c>
      <c r="C156" t="s">
        <v>322</v>
      </c>
      <c r="D156" s="6">
        <v>300000</v>
      </c>
    </row>
    <row r="157" spans="1:4" x14ac:dyDescent="0.25">
      <c r="A157">
        <v>2023</v>
      </c>
      <c r="B157" s="4" t="s">
        <v>323</v>
      </c>
      <c r="C157" t="s">
        <v>324</v>
      </c>
      <c r="D157" s="6">
        <v>0</v>
      </c>
    </row>
    <row r="158" spans="1:4" x14ac:dyDescent="0.25">
      <c r="A158">
        <v>2023</v>
      </c>
      <c r="B158" s="4" t="s">
        <v>325</v>
      </c>
      <c r="C158" t="s">
        <v>326</v>
      </c>
      <c r="D158" s="6">
        <v>0</v>
      </c>
    </row>
    <row r="159" spans="1:4" x14ac:dyDescent="0.25">
      <c r="A159">
        <v>2023</v>
      </c>
      <c r="B159" s="4" t="s">
        <v>327</v>
      </c>
      <c r="C159" t="s">
        <v>328</v>
      </c>
      <c r="D159" s="6">
        <v>0</v>
      </c>
    </row>
    <row r="160" spans="1:4" x14ac:dyDescent="0.25">
      <c r="A160">
        <v>2023</v>
      </c>
      <c r="B160" s="4" t="s">
        <v>329</v>
      </c>
      <c r="C160" t="s">
        <v>330</v>
      </c>
      <c r="D160" s="6">
        <v>0</v>
      </c>
    </row>
    <row r="161" spans="1:4" x14ac:dyDescent="0.25">
      <c r="A161">
        <v>2023</v>
      </c>
      <c r="B161" s="4" t="s">
        <v>331</v>
      </c>
      <c r="C161" t="s">
        <v>332</v>
      </c>
      <c r="D161" s="6">
        <v>0</v>
      </c>
    </row>
    <row r="162" spans="1:4" x14ac:dyDescent="0.25">
      <c r="A162">
        <v>2023</v>
      </c>
      <c r="B162" s="4" t="s">
        <v>333</v>
      </c>
      <c r="C162" t="s">
        <v>334</v>
      </c>
      <c r="D162" s="6">
        <v>5550312</v>
      </c>
    </row>
    <row r="163" spans="1:4" x14ac:dyDescent="0.25">
      <c r="A163">
        <v>2023</v>
      </c>
      <c r="B163" s="4" t="s">
        <v>335</v>
      </c>
      <c r="C163" t="s">
        <v>336</v>
      </c>
      <c r="D163" s="6">
        <v>0</v>
      </c>
    </row>
    <row r="164" spans="1:4" x14ac:dyDescent="0.25">
      <c r="A164">
        <v>2023</v>
      </c>
      <c r="B164" s="4" t="s">
        <v>337</v>
      </c>
      <c r="C164" t="s">
        <v>338</v>
      </c>
      <c r="D164" s="6">
        <v>55684</v>
      </c>
    </row>
    <row r="165" spans="1:4" x14ac:dyDescent="0.25">
      <c r="A165">
        <v>2023</v>
      </c>
      <c r="B165" s="4" t="s">
        <v>339</v>
      </c>
      <c r="C165" t="s">
        <v>340</v>
      </c>
      <c r="D165" s="6">
        <v>0</v>
      </c>
    </row>
    <row r="166" spans="1:4" x14ac:dyDescent="0.25">
      <c r="A166">
        <v>2023</v>
      </c>
      <c r="B166" s="4" t="s">
        <v>341</v>
      </c>
      <c r="C166" t="s">
        <v>342</v>
      </c>
      <c r="D166" s="6">
        <v>224036</v>
      </c>
    </row>
    <row r="167" spans="1:4" x14ac:dyDescent="0.25">
      <c r="A167">
        <v>2023</v>
      </c>
      <c r="B167" s="4" t="s">
        <v>343</v>
      </c>
      <c r="C167" t="s">
        <v>344</v>
      </c>
      <c r="D167" s="6">
        <v>0</v>
      </c>
    </row>
    <row r="168" spans="1:4" x14ac:dyDescent="0.25">
      <c r="A168">
        <v>2023</v>
      </c>
      <c r="B168" s="4" t="s">
        <v>345</v>
      </c>
      <c r="C168" t="s">
        <v>346</v>
      </c>
      <c r="D168" s="6">
        <v>0</v>
      </c>
    </row>
    <row r="169" spans="1:4" x14ac:dyDescent="0.25">
      <c r="A169">
        <v>2023</v>
      </c>
      <c r="B169" s="4" t="s">
        <v>371</v>
      </c>
      <c r="C169" t="s">
        <v>372</v>
      </c>
      <c r="D169" s="6">
        <v>198756</v>
      </c>
    </row>
    <row r="170" spans="1:4" x14ac:dyDescent="0.25">
      <c r="A170">
        <v>2023</v>
      </c>
      <c r="B170" s="4" t="s">
        <v>347</v>
      </c>
      <c r="C170" t="s">
        <v>348</v>
      </c>
      <c r="D170" s="6">
        <v>0</v>
      </c>
    </row>
    <row r="171" spans="1:4" x14ac:dyDescent="0.25">
      <c r="A171">
        <v>2023</v>
      </c>
      <c r="B171" s="4" t="s">
        <v>349</v>
      </c>
      <c r="C171" t="s">
        <v>350</v>
      </c>
      <c r="D171" s="6">
        <v>0</v>
      </c>
    </row>
    <row r="172" spans="1:4" x14ac:dyDescent="0.25">
      <c r="A172">
        <v>2023</v>
      </c>
      <c r="B172" s="4" t="s">
        <v>351</v>
      </c>
      <c r="C172" t="s">
        <v>352</v>
      </c>
      <c r="D172" s="6">
        <v>0</v>
      </c>
    </row>
    <row r="173" spans="1:4" x14ac:dyDescent="0.25">
      <c r="A173">
        <v>2023</v>
      </c>
      <c r="B173" s="4" t="s">
        <v>353</v>
      </c>
      <c r="C173" t="s">
        <v>354</v>
      </c>
      <c r="D173" s="6">
        <v>678757</v>
      </c>
    </row>
    <row r="174" spans="1:4" x14ac:dyDescent="0.25">
      <c r="A174">
        <v>2023</v>
      </c>
      <c r="B174" s="4" t="s">
        <v>355</v>
      </c>
      <c r="C174" t="s">
        <v>356</v>
      </c>
      <c r="D174">
        <v>0</v>
      </c>
    </row>
    <row r="175" spans="1:4" x14ac:dyDescent="0.25">
      <c r="A175">
        <v>2023</v>
      </c>
      <c r="B175" s="4" t="s">
        <v>357</v>
      </c>
      <c r="C175" t="s">
        <v>358</v>
      </c>
      <c r="D175" s="6">
        <v>259864</v>
      </c>
    </row>
    <row r="176" spans="1:4" x14ac:dyDescent="0.25">
      <c r="A176">
        <v>2023</v>
      </c>
      <c r="B176" s="4" t="s">
        <v>359</v>
      </c>
      <c r="C176" t="s">
        <v>360</v>
      </c>
      <c r="D176" s="6">
        <v>0</v>
      </c>
    </row>
    <row r="177" spans="1:4" x14ac:dyDescent="0.25">
      <c r="A177">
        <v>2023</v>
      </c>
      <c r="B177" s="4" t="s">
        <v>361</v>
      </c>
      <c r="C177" t="s">
        <v>362</v>
      </c>
      <c r="D177" s="6">
        <v>3705491</v>
      </c>
    </row>
    <row r="178" spans="1:4" x14ac:dyDescent="0.25">
      <c r="A178">
        <v>2023</v>
      </c>
      <c r="B178" s="4" t="s">
        <v>363</v>
      </c>
      <c r="C178" t="s">
        <v>364</v>
      </c>
      <c r="D178" s="6">
        <v>700950</v>
      </c>
    </row>
    <row r="179" spans="1:4" x14ac:dyDescent="0.25">
      <c r="A179">
        <v>2023</v>
      </c>
      <c r="B179" s="4" t="s">
        <v>365</v>
      </c>
      <c r="C179" t="s">
        <v>366</v>
      </c>
      <c r="D179" s="6">
        <v>8065886</v>
      </c>
    </row>
    <row r="180" spans="1:4" x14ac:dyDescent="0.25">
      <c r="A180">
        <v>2023</v>
      </c>
      <c r="B180" s="4" t="s">
        <v>367</v>
      </c>
      <c r="C180" t="s">
        <v>368</v>
      </c>
      <c r="D180" s="6">
        <v>0</v>
      </c>
    </row>
    <row r="181" spans="1:4" x14ac:dyDescent="0.25">
      <c r="A181">
        <v>2023</v>
      </c>
      <c r="B181" s="4" t="s">
        <v>369</v>
      </c>
      <c r="C181" t="s">
        <v>370</v>
      </c>
      <c r="D181" s="6">
        <v>0</v>
      </c>
    </row>
    <row r="182" spans="1:4" x14ac:dyDescent="0.25">
      <c r="A182">
        <v>2023</v>
      </c>
      <c r="B182" s="4" t="s">
        <v>375</v>
      </c>
      <c r="C182" t="s">
        <v>376</v>
      </c>
      <c r="D182" s="6">
        <v>100000</v>
      </c>
    </row>
    <row r="183" spans="1:4" x14ac:dyDescent="0.25">
      <c r="A183">
        <v>2023</v>
      </c>
      <c r="B183" s="4" t="s">
        <v>373</v>
      </c>
      <c r="C183" t="s">
        <v>374</v>
      </c>
      <c r="D183">
        <v>0</v>
      </c>
    </row>
    <row r="184" spans="1:4" x14ac:dyDescent="0.25">
      <c r="A184">
        <v>2023</v>
      </c>
      <c r="B184" s="4" t="s">
        <v>377</v>
      </c>
      <c r="C184" t="s">
        <v>378</v>
      </c>
      <c r="D184" s="6">
        <v>0</v>
      </c>
    </row>
    <row r="185" spans="1:4" x14ac:dyDescent="0.25">
      <c r="A185">
        <v>2023</v>
      </c>
      <c r="B185" s="4" t="s">
        <v>379</v>
      </c>
      <c r="C185" t="s">
        <v>380</v>
      </c>
      <c r="D185" s="6">
        <v>0</v>
      </c>
    </row>
    <row r="186" spans="1:4" x14ac:dyDescent="0.25">
      <c r="A186">
        <v>2023</v>
      </c>
      <c r="B186" s="4" t="s">
        <v>381</v>
      </c>
      <c r="C186" t="s">
        <v>382</v>
      </c>
      <c r="D186" s="6">
        <v>0</v>
      </c>
    </row>
    <row r="187" spans="1:4" x14ac:dyDescent="0.25">
      <c r="A187">
        <v>2023</v>
      </c>
      <c r="B187" s="4" t="s">
        <v>383</v>
      </c>
      <c r="C187" t="s">
        <v>384</v>
      </c>
      <c r="D187" s="6">
        <v>0</v>
      </c>
    </row>
    <row r="188" spans="1:4" x14ac:dyDescent="0.25">
      <c r="A188">
        <v>2023</v>
      </c>
      <c r="B188" s="4" t="s">
        <v>385</v>
      </c>
      <c r="C188" t="s">
        <v>386</v>
      </c>
      <c r="D188" s="6">
        <v>0</v>
      </c>
    </row>
    <row r="189" spans="1:4" x14ac:dyDescent="0.25">
      <c r="A189">
        <v>2023</v>
      </c>
      <c r="B189" s="4" t="s">
        <v>387</v>
      </c>
      <c r="C189" t="s">
        <v>388</v>
      </c>
      <c r="D189" s="6">
        <v>53216</v>
      </c>
    </row>
    <row r="190" spans="1:4" x14ac:dyDescent="0.25">
      <c r="A190">
        <v>2023</v>
      </c>
      <c r="B190" s="4" t="s">
        <v>389</v>
      </c>
      <c r="C190" t="s">
        <v>390</v>
      </c>
      <c r="D190" s="6">
        <v>0</v>
      </c>
    </row>
    <row r="191" spans="1:4" x14ac:dyDescent="0.25">
      <c r="A191">
        <v>2023</v>
      </c>
      <c r="B191" s="4" t="s">
        <v>391</v>
      </c>
      <c r="C191" t="s">
        <v>392</v>
      </c>
      <c r="D191">
        <v>0</v>
      </c>
    </row>
    <row r="192" spans="1:4" x14ac:dyDescent="0.25">
      <c r="A192">
        <v>2023</v>
      </c>
      <c r="B192" s="4" t="s">
        <v>393</v>
      </c>
      <c r="C192" t="s">
        <v>394</v>
      </c>
      <c r="D192" s="6">
        <v>0</v>
      </c>
    </row>
    <row r="193" spans="1:4" x14ac:dyDescent="0.25">
      <c r="A193">
        <v>2023</v>
      </c>
      <c r="B193" s="4" t="s">
        <v>395</v>
      </c>
      <c r="C193" t="s">
        <v>396</v>
      </c>
      <c r="D193" s="6">
        <v>1200000</v>
      </c>
    </row>
    <row r="194" spans="1:4" x14ac:dyDescent="0.25">
      <c r="A194">
        <v>2023</v>
      </c>
      <c r="B194" s="4" t="s">
        <v>397</v>
      </c>
      <c r="C194" t="s">
        <v>398</v>
      </c>
      <c r="D194" s="6">
        <v>765022</v>
      </c>
    </row>
    <row r="195" spans="1:4" x14ac:dyDescent="0.25">
      <c r="A195">
        <v>2023</v>
      </c>
      <c r="B195" s="4" t="s">
        <v>399</v>
      </c>
      <c r="C195" t="s">
        <v>400</v>
      </c>
      <c r="D195" s="6">
        <v>0</v>
      </c>
    </row>
    <row r="196" spans="1:4" x14ac:dyDescent="0.25">
      <c r="A196">
        <v>2023</v>
      </c>
      <c r="B196" s="4" t="s">
        <v>401</v>
      </c>
      <c r="C196" t="s">
        <v>402</v>
      </c>
      <c r="D196" s="6">
        <v>962771</v>
      </c>
    </row>
    <row r="197" spans="1:4" x14ac:dyDescent="0.25">
      <c r="A197">
        <v>2023</v>
      </c>
      <c r="B197" s="4" t="s">
        <v>403</v>
      </c>
      <c r="C197" t="s">
        <v>404</v>
      </c>
      <c r="D197" s="6">
        <v>0</v>
      </c>
    </row>
    <row r="198" spans="1:4" x14ac:dyDescent="0.25">
      <c r="A198">
        <v>2023</v>
      </c>
      <c r="B198" s="4" t="s">
        <v>405</v>
      </c>
      <c r="C198" t="s">
        <v>406</v>
      </c>
      <c r="D198" s="6">
        <v>490835</v>
      </c>
    </row>
    <row r="199" spans="1:4" x14ac:dyDescent="0.25">
      <c r="A199">
        <v>2023</v>
      </c>
      <c r="B199" s="4" t="s">
        <v>407</v>
      </c>
      <c r="C199" t="s">
        <v>408</v>
      </c>
      <c r="D199" s="6">
        <v>0</v>
      </c>
    </row>
    <row r="200" spans="1:4" x14ac:dyDescent="0.25">
      <c r="A200">
        <v>2023</v>
      </c>
      <c r="B200" s="4" t="s">
        <v>409</v>
      </c>
      <c r="C200" t="s">
        <v>410</v>
      </c>
      <c r="D200" s="6">
        <v>355841</v>
      </c>
    </row>
    <row r="201" spans="1:4" x14ac:dyDescent="0.25">
      <c r="A201">
        <v>2023</v>
      </c>
      <c r="B201" s="4" t="s">
        <v>411</v>
      </c>
      <c r="C201" t="s">
        <v>412</v>
      </c>
      <c r="D201" s="6">
        <v>808000</v>
      </c>
    </row>
    <row r="202" spans="1:4" x14ac:dyDescent="0.25">
      <c r="A202">
        <v>2023</v>
      </c>
      <c r="B202" s="4" t="s">
        <v>413</v>
      </c>
      <c r="C202" t="s">
        <v>414</v>
      </c>
      <c r="D202" s="6">
        <v>1738169</v>
      </c>
    </row>
    <row r="203" spans="1:4" x14ac:dyDescent="0.25">
      <c r="A203">
        <v>2023</v>
      </c>
      <c r="B203" s="4" t="s">
        <v>415</v>
      </c>
      <c r="C203" t="s">
        <v>416</v>
      </c>
      <c r="D203" s="6">
        <v>0</v>
      </c>
    </row>
    <row r="204" spans="1:4" x14ac:dyDescent="0.25">
      <c r="A204">
        <v>2023</v>
      </c>
      <c r="B204" s="4" t="s">
        <v>417</v>
      </c>
      <c r="C204" t="s">
        <v>418</v>
      </c>
      <c r="D204" s="6">
        <v>146449</v>
      </c>
    </row>
    <row r="205" spans="1:4" x14ac:dyDescent="0.25">
      <c r="A205">
        <v>2023</v>
      </c>
      <c r="B205" s="4" t="s">
        <v>419</v>
      </c>
      <c r="C205" t="s">
        <v>420</v>
      </c>
      <c r="D205" s="6">
        <v>572398</v>
      </c>
    </row>
    <row r="206" spans="1:4" x14ac:dyDescent="0.25">
      <c r="A206">
        <v>2023</v>
      </c>
      <c r="B206" s="4" t="s">
        <v>421</v>
      </c>
      <c r="C206" t="s">
        <v>422</v>
      </c>
      <c r="D206" s="6">
        <v>553491</v>
      </c>
    </row>
    <row r="207" spans="1:4" x14ac:dyDescent="0.25">
      <c r="A207">
        <v>2023</v>
      </c>
      <c r="B207" s="4" t="s">
        <v>423</v>
      </c>
      <c r="C207" t="s">
        <v>424</v>
      </c>
      <c r="D207" s="6">
        <v>0</v>
      </c>
    </row>
    <row r="208" spans="1:4" x14ac:dyDescent="0.25">
      <c r="A208">
        <v>2023</v>
      </c>
      <c r="B208" s="4" t="s">
        <v>425</v>
      </c>
      <c r="C208" t="s">
        <v>426</v>
      </c>
      <c r="D208" s="6">
        <v>0</v>
      </c>
    </row>
    <row r="209" spans="1:4" x14ac:dyDescent="0.25">
      <c r="A209">
        <v>2023</v>
      </c>
      <c r="B209" s="4" t="s">
        <v>427</v>
      </c>
      <c r="C209" t="s">
        <v>428</v>
      </c>
      <c r="D209" s="6">
        <v>0</v>
      </c>
    </row>
    <row r="210" spans="1:4" x14ac:dyDescent="0.25">
      <c r="A210">
        <v>2023</v>
      </c>
      <c r="B210" s="4" t="s">
        <v>429</v>
      </c>
      <c r="C210" t="s">
        <v>430</v>
      </c>
      <c r="D210" s="6">
        <v>0</v>
      </c>
    </row>
    <row r="211" spans="1:4" x14ac:dyDescent="0.25">
      <c r="A211">
        <v>2023</v>
      </c>
      <c r="B211" s="4" t="s">
        <v>431</v>
      </c>
      <c r="C211" t="s">
        <v>432</v>
      </c>
      <c r="D211" s="6">
        <v>2223000</v>
      </c>
    </row>
    <row r="212" spans="1:4" x14ac:dyDescent="0.25">
      <c r="A212">
        <v>2023</v>
      </c>
      <c r="B212" s="4" t="s">
        <v>433</v>
      </c>
      <c r="C212" t="s">
        <v>434</v>
      </c>
      <c r="D212" s="6">
        <v>0</v>
      </c>
    </row>
    <row r="213" spans="1:4" x14ac:dyDescent="0.25">
      <c r="A213">
        <v>2023</v>
      </c>
      <c r="B213" s="4" t="s">
        <v>435</v>
      </c>
      <c r="C213" t="s">
        <v>436</v>
      </c>
      <c r="D213" s="6">
        <v>0</v>
      </c>
    </row>
    <row r="214" spans="1:4" x14ac:dyDescent="0.25">
      <c r="A214">
        <v>2023</v>
      </c>
      <c r="B214" s="4" t="s">
        <v>437</v>
      </c>
      <c r="C214" t="s">
        <v>438</v>
      </c>
      <c r="D214">
        <v>0</v>
      </c>
    </row>
    <row r="215" spans="1:4" x14ac:dyDescent="0.25">
      <c r="A215">
        <v>2023</v>
      </c>
      <c r="B215" s="4" t="s">
        <v>439</v>
      </c>
      <c r="C215" t="s">
        <v>440</v>
      </c>
      <c r="D215" s="6">
        <v>735000</v>
      </c>
    </row>
    <row r="216" spans="1:4" x14ac:dyDescent="0.25">
      <c r="A216">
        <v>2023</v>
      </c>
      <c r="B216" s="4" t="s">
        <v>442</v>
      </c>
      <c r="C216" t="s">
        <v>443</v>
      </c>
      <c r="D216" s="6">
        <v>0</v>
      </c>
    </row>
    <row r="217" spans="1:4" x14ac:dyDescent="0.25">
      <c r="A217">
        <v>2023</v>
      </c>
      <c r="B217" s="4" t="s">
        <v>444</v>
      </c>
      <c r="C217" t="s">
        <v>445</v>
      </c>
      <c r="D217" s="6">
        <v>0</v>
      </c>
    </row>
    <row r="218" spans="1:4" x14ac:dyDescent="0.25">
      <c r="A218">
        <v>2023</v>
      </c>
      <c r="B218" s="4" t="s">
        <v>446</v>
      </c>
      <c r="C218" t="s">
        <v>447</v>
      </c>
      <c r="D218" s="6">
        <v>0</v>
      </c>
    </row>
    <row r="219" spans="1:4" x14ac:dyDescent="0.25">
      <c r="A219">
        <v>2023</v>
      </c>
      <c r="B219" s="4" t="s">
        <v>448</v>
      </c>
      <c r="C219" t="s">
        <v>449</v>
      </c>
      <c r="D219" s="6">
        <v>775000</v>
      </c>
    </row>
    <row r="220" spans="1:4" x14ac:dyDescent="0.25">
      <c r="A220">
        <v>2023</v>
      </c>
      <c r="B220" s="4" t="s">
        <v>450</v>
      </c>
      <c r="C220" t="s">
        <v>451</v>
      </c>
      <c r="D220">
        <v>0</v>
      </c>
    </row>
    <row r="221" spans="1:4" x14ac:dyDescent="0.25">
      <c r="A221">
        <v>2023</v>
      </c>
      <c r="B221" s="4" t="s">
        <v>452</v>
      </c>
      <c r="C221" t="s">
        <v>453</v>
      </c>
      <c r="D221" s="6">
        <v>0</v>
      </c>
    </row>
    <row r="222" spans="1:4" x14ac:dyDescent="0.25">
      <c r="A222">
        <v>2023</v>
      </c>
      <c r="B222" s="4" t="s">
        <v>454</v>
      </c>
      <c r="C222" t="s">
        <v>455</v>
      </c>
      <c r="D222">
        <v>0</v>
      </c>
    </row>
    <row r="223" spans="1:4" x14ac:dyDescent="0.25">
      <c r="A223">
        <v>2023</v>
      </c>
      <c r="B223" s="4" t="s">
        <v>456</v>
      </c>
      <c r="C223" t="s">
        <v>457</v>
      </c>
      <c r="D223" s="6">
        <v>462734</v>
      </c>
    </row>
    <row r="224" spans="1:4" x14ac:dyDescent="0.25">
      <c r="A224">
        <v>2023</v>
      </c>
      <c r="B224" s="4" t="s">
        <v>458</v>
      </c>
      <c r="C224" t="s">
        <v>459</v>
      </c>
      <c r="D224" s="6">
        <v>0</v>
      </c>
    </row>
    <row r="225" spans="1:4" x14ac:dyDescent="0.25">
      <c r="A225">
        <v>2023</v>
      </c>
      <c r="B225" s="4" t="s">
        <v>460</v>
      </c>
      <c r="C225" t="s">
        <v>461</v>
      </c>
      <c r="D225" s="6">
        <v>438328</v>
      </c>
    </row>
    <row r="226" spans="1:4" x14ac:dyDescent="0.25">
      <c r="A226">
        <v>2023</v>
      </c>
      <c r="B226" s="4" t="s">
        <v>462</v>
      </c>
      <c r="C226" t="s">
        <v>463</v>
      </c>
      <c r="D226" s="6">
        <v>0</v>
      </c>
    </row>
    <row r="227" spans="1:4" x14ac:dyDescent="0.25">
      <c r="A227">
        <v>2023</v>
      </c>
      <c r="B227" s="4" t="s">
        <v>468</v>
      </c>
      <c r="C227" t="s">
        <v>470</v>
      </c>
      <c r="D227" s="6">
        <v>0</v>
      </c>
    </row>
    <row r="228" spans="1:4" x14ac:dyDescent="0.25">
      <c r="A228">
        <v>2023</v>
      </c>
      <c r="B228" s="4" t="s">
        <v>464</v>
      </c>
      <c r="C228" t="s">
        <v>465</v>
      </c>
      <c r="D228" s="6">
        <v>0</v>
      </c>
    </row>
    <row r="229" spans="1:4" x14ac:dyDescent="0.25">
      <c r="A229">
        <v>2023</v>
      </c>
      <c r="B229" s="4" t="s">
        <v>466</v>
      </c>
      <c r="C229" t="s">
        <v>467</v>
      </c>
      <c r="D229" s="6">
        <v>0</v>
      </c>
    </row>
    <row r="230" spans="1:4" x14ac:dyDescent="0.25">
      <c r="A230">
        <v>2023</v>
      </c>
      <c r="B230" s="4" t="s">
        <v>471</v>
      </c>
      <c r="C230" t="s">
        <v>472</v>
      </c>
      <c r="D230" s="6">
        <v>107324</v>
      </c>
    </row>
    <row r="231" spans="1:4" x14ac:dyDescent="0.25">
      <c r="A231">
        <v>2023</v>
      </c>
      <c r="B231" s="4" t="s">
        <v>473</v>
      </c>
      <c r="C231" t="s">
        <v>474</v>
      </c>
      <c r="D231" s="6">
        <v>679387</v>
      </c>
    </row>
    <row r="232" spans="1:4" x14ac:dyDescent="0.25">
      <c r="A232">
        <v>2023</v>
      </c>
      <c r="B232" s="4" t="s">
        <v>475</v>
      </c>
      <c r="C232" t="s">
        <v>476</v>
      </c>
      <c r="D232" s="6">
        <v>836432</v>
      </c>
    </row>
    <row r="233" spans="1:4" x14ac:dyDescent="0.25">
      <c r="A233">
        <v>2023</v>
      </c>
      <c r="B233" s="4" t="s">
        <v>477</v>
      </c>
      <c r="C233" t="s">
        <v>478</v>
      </c>
      <c r="D233" s="6">
        <v>1113694</v>
      </c>
    </row>
    <row r="234" spans="1:4" x14ac:dyDescent="0.25">
      <c r="A234">
        <v>2023</v>
      </c>
      <c r="B234" s="4" t="s">
        <v>479</v>
      </c>
      <c r="C234" t="s">
        <v>480</v>
      </c>
      <c r="D234" s="6">
        <v>0</v>
      </c>
    </row>
    <row r="235" spans="1:4" x14ac:dyDescent="0.25">
      <c r="A235">
        <v>2023</v>
      </c>
      <c r="B235" s="4" t="s">
        <v>481</v>
      </c>
      <c r="C235" t="s">
        <v>482</v>
      </c>
      <c r="D235" s="6">
        <v>1009427</v>
      </c>
    </row>
    <row r="236" spans="1:4" x14ac:dyDescent="0.25">
      <c r="A236">
        <v>2023</v>
      </c>
      <c r="B236" s="4" t="s">
        <v>483</v>
      </c>
      <c r="C236" t="s">
        <v>484</v>
      </c>
      <c r="D236" s="6">
        <v>248997</v>
      </c>
    </row>
    <row r="237" spans="1:4" x14ac:dyDescent="0.25">
      <c r="A237">
        <v>2023</v>
      </c>
      <c r="B237" s="4" t="s">
        <v>485</v>
      </c>
      <c r="C237" t="s">
        <v>487</v>
      </c>
      <c r="D237" s="6">
        <v>0</v>
      </c>
    </row>
    <row r="238" spans="1:4" x14ac:dyDescent="0.25">
      <c r="A238">
        <v>2023</v>
      </c>
      <c r="B238" s="4" t="s">
        <v>488</v>
      </c>
      <c r="C238" t="s">
        <v>489</v>
      </c>
      <c r="D238" s="6">
        <v>0</v>
      </c>
    </row>
    <row r="239" spans="1:4" x14ac:dyDescent="0.25">
      <c r="A239">
        <v>2023</v>
      </c>
      <c r="B239" s="4" t="s">
        <v>490</v>
      </c>
      <c r="C239" t="s">
        <v>491</v>
      </c>
      <c r="D239" s="6">
        <v>0</v>
      </c>
    </row>
    <row r="240" spans="1:4" x14ac:dyDescent="0.25">
      <c r="A240">
        <v>2023</v>
      </c>
      <c r="B240" s="4" t="s">
        <v>492</v>
      </c>
      <c r="C240" t="s">
        <v>493</v>
      </c>
      <c r="D240" s="6">
        <v>0</v>
      </c>
    </row>
    <row r="241" spans="1:4" x14ac:dyDescent="0.25">
      <c r="A241">
        <v>2023</v>
      </c>
      <c r="B241" s="4" t="s">
        <v>494</v>
      </c>
      <c r="C241" t="s">
        <v>495</v>
      </c>
      <c r="D241" s="6">
        <v>0</v>
      </c>
    </row>
    <row r="242" spans="1:4" x14ac:dyDescent="0.25">
      <c r="A242">
        <v>2023</v>
      </c>
      <c r="B242" s="4" t="s">
        <v>496</v>
      </c>
      <c r="C242" t="s">
        <v>498</v>
      </c>
      <c r="D242" s="6">
        <v>1045416</v>
      </c>
    </row>
    <row r="243" spans="1:4" x14ac:dyDescent="0.25">
      <c r="A243">
        <v>2023</v>
      </c>
      <c r="B243" s="4" t="s">
        <v>499</v>
      </c>
      <c r="C243" t="s">
        <v>500</v>
      </c>
      <c r="D243" s="6">
        <v>0</v>
      </c>
    </row>
    <row r="244" spans="1:4" x14ac:dyDescent="0.25">
      <c r="A244">
        <v>2023</v>
      </c>
      <c r="B244" s="4" t="s">
        <v>501</v>
      </c>
      <c r="C244" t="s">
        <v>502</v>
      </c>
      <c r="D244" s="6">
        <v>0</v>
      </c>
    </row>
    <row r="245" spans="1:4" x14ac:dyDescent="0.25">
      <c r="A245">
        <v>2023</v>
      </c>
      <c r="B245" s="4" t="s">
        <v>503</v>
      </c>
      <c r="C245" t="s">
        <v>504</v>
      </c>
      <c r="D245" s="6">
        <v>160086</v>
      </c>
    </row>
    <row r="246" spans="1:4" x14ac:dyDescent="0.25">
      <c r="A246">
        <v>2023</v>
      </c>
      <c r="B246" s="4" t="s">
        <v>505</v>
      </c>
      <c r="C246" t="s">
        <v>506</v>
      </c>
      <c r="D246" s="6">
        <v>0</v>
      </c>
    </row>
    <row r="247" spans="1:4" x14ac:dyDescent="0.25">
      <c r="A247">
        <v>2023</v>
      </c>
      <c r="B247" s="4" t="s">
        <v>507</v>
      </c>
      <c r="C247" t="s">
        <v>508</v>
      </c>
      <c r="D247" s="6">
        <v>1370955</v>
      </c>
    </row>
    <row r="248" spans="1:4" x14ac:dyDescent="0.25">
      <c r="A248">
        <v>2023</v>
      </c>
      <c r="B248" s="4" t="s">
        <v>509</v>
      </c>
      <c r="C248" t="s">
        <v>510</v>
      </c>
      <c r="D248" s="6">
        <v>0</v>
      </c>
    </row>
    <row r="249" spans="1:4" x14ac:dyDescent="0.25">
      <c r="A249">
        <v>2023</v>
      </c>
      <c r="B249" s="4" t="s">
        <v>511</v>
      </c>
      <c r="C249" t="s">
        <v>512</v>
      </c>
      <c r="D249">
        <v>0</v>
      </c>
    </row>
    <row r="250" spans="1:4" x14ac:dyDescent="0.25">
      <c r="A250">
        <v>2023</v>
      </c>
      <c r="B250" s="4" t="s">
        <v>513</v>
      </c>
      <c r="C250" t="s">
        <v>514</v>
      </c>
      <c r="D250" s="6">
        <v>0</v>
      </c>
    </row>
    <row r="251" spans="1:4" x14ac:dyDescent="0.25">
      <c r="A251">
        <v>2023</v>
      </c>
      <c r="B251" s="4" t="s">
        <v>515</v>
      </c>
      <c r="C251" t="s">
        <v>516</v>
      </c>
      <c r="D251">
        <v>0</v>
      </c>
    </row>
    <row r="252" spans="1:4" x14ac:dyDescent="0.25">
      <c r="A252">
        <v>2023</v>
      </c>
      <c r="B252" s="4" t="s">
        <v>517</v>
      </c>
      <c r="C252" t="s">
        <v>518</v>
      </c>
      <c r="D252" s="6">
        <v>0</v>
      </c>
    </row>
    <row r="253" spans="1:4" x14ac:dyDescent="0.25">
      <c r="A253">
        <v>2023</v>
      </c>
      <c r="B253" s="4" t="s">
        <v>519</v>
      </c>
      <c r="C253" t="s">
        <v>520</v>
      </c>
      <c r="D253" s="6">
        <v>338325</v>
      </c>
    </row>
    <row r="254" spans="1:4" x14ac:dyDescent="0.25">
      <c r="A254">
        <v>2023</v>
      </c>
      <c r="B254" s="4" t="s">
        <v>521</v>
      </c>
      <c r="C254" t="s">
        <v>522</v>
      </c>
      <c r="D254" s="6">
        <v>0</v>
      </c>
    </row>
    <row r="255" spans="1:4" x14ac:dyDescent="0.25">
      <c r="A255">
        <v>2023</v>
      </c>
      <c r="B255" s="4" t="s">
        <v>523</v>
      </c>
      <c r="C255" t="s">
        <v>524</v>
      </c>
      <c r="D255" s="6">
        <v>0</v>
      </c>
    </row>
    <row r="256" spans="1:4" x14ac:dyDescent="0.25">
      <c r="A256">
        <v>2023</v>
      </c>
      <c r="B256" s="4" t="s">
        <v>525</v>
      </c>
      <c r="C256" t="s">
        <v>526</v>
      </c>
      <c r="D256" s="6">
        <v>0</v>
      </c>
    </row>
    <row r="257" spans="1:4" x14ac:dyDescent="0.25">
      <c r="A257">
        <v>2023</v>
      </c>
      <c r="B257" s="4" t="s">
        <v>527</v>
      </c>
      <c r="C257" t="s">
        <v>528</v>
      </c>
      <c r="D257" s="6">
        <v>1506880</v>
      </c>
    </row>
    <row r="258" spans="1:4" x14ac:dyDescent="0.25">
      <c r="A258">
        <v>2023</v>
      </c>
      <c r="B258" s="4" t="s">
        <v>529</v>
      </c>
      <c r="C258" t="s">
        <v>531</v>
      </c>
      <c r="D258" s="6">
        <v>0</v>
      </c>
    </row>
    <row r="259" spans="1:4" x14ac:dyDescent="0.25">
      <c r="A259">
        <v>2023</v>
      </c>
      <c r="B259" s="4" t="s">
        <v>532</v>
      </c>
      <c r="C259" t="s">
        <v>533</v>
      </c>
      <c r="D259" s="6">
        <v>0</v>
      </c>
    </row>
    <row r="260" spans="1:4" x14ac:dyDescent="0.25">
      <c r="A260">
        <v>2023</v>
      </c>
      <c r="B260" s="4" t="s">
        <v>534</v>
      </c>
      <c r="C260" t="s">
        <v>535</v>
      </c>
      <c r="D260" s="6">
        <v>0</v>
      </c>
    </row>
    <row r="261" spans="1:4" x14ac:dyDescent="0.25">
      <c r="A261">
        <v>2023</v>
      </c>
      <c r="B261" s="4" t="s">
        <v>536</v>
      </c>
      <c r="C261" t="s">
        <v>537</v>
      </c>
      <c r="D261">
        <v>0</v>
      </c>
    </row>
    <row r="262" spans="1:4" x14ac:dyDescent="0.25">
      <c r="A262">
        <v>2023</v>
      </c>
      <c r="B262" s="4" t="s">
        <v>538</v>
      </c>
      <c r="C262" t="s">
        <v>539</v>
      </c>
      <c r="D262" s="6">
        <v>0</v>
      </c>
    </row>
    <row r="263" spans="1:4" x14ac:dyDescent="0.25">
      <c r="A263">
        <v>2023</v>
      </c>
      <c r="B263" s="4" t="s">
        <v>540</v>
      </c>
      <c r="C263" t="s">
        <v>542</v>
      </c>
      <c r="D263" s="6">
        <v>302381</v>
      </c>
    </row>
    <row r="264" spans="1:4" x14ac:dyDescent="0.25">
      <c r="A264">
        <v>2023</v>
      </c>
      <c r="B264" s="4" t="s">
        <v>543</v>
      </c>
      <c r="C264" t="s">
        <v>544</v>
      </c>
      <c r="D264" s="6">
        <v>190882</v>
      </c>
    </row>
    <row r="265" spans="1:4" x14ac:dyDescent="0.25">
      <c r="A265">
        <v>2023</v>
      </c>
      <c r="B265" s="4" t="s">
        <v>545</v>
      </c>
      <c r="C265" t="s">
        <v>546</v>
      </c>
      <c r="D265" s="6">
        <v>0</v>
      </c>
    </row>
    <row r="266" spans="1:4" x14ac:dyDescent="0.25">
      <c r="A266">
        <v>2023</v>
      </c>
      <c r="B266" s="4" t="s">
        <v>547</v>
      </c>
      <c r="C266" t="s">
        <v>548</v>
      </c>
      <c r="D266" s="6">
        <v>760041</v>
      </c>
    </row>
    <row r="267" spans="1:4" x14ac:dyDescent="0.25">
      <c r="A267">
        <v>2023</v>
      </c>
      <c r="B267" s="4" t="s">
        <v>549</v>
      </c>
      <c r="C267" t="s">
        <v>550</v>
      </c>
      <c r="D267" s="6">
        <v>2982249</v>
      </c>
    </row>
    <row r="268" spans="1:4" x14ac:dyDescent="0.25">
      <c r="A268">
        <v>2023</v>
      </c>
      <c r="B268" s="4" t="s">
        <v>551</v>
      </c>
      <c r="C268" t="s">
        <v>552</v>
      </c>
      <c r="D268" s="6">
        <v>0</v>
      </c>
    </row>
    <row r="269" spans="1:4" x14ac:dyDescent="0.25">
      <c r="A269">
        <v>2023</v>
      </c>
      <c r="B269" s="4" t="s">
        <v>553</v>
      </c>
      <c r="C269" t="s">
        <v>554</v>
      </c>
      <c r="D269" s="6">
        <v>0</v>
      </c>
    </row>
    <row r="270" spans="1:4" x14ac:dyDescent="0.25">
      <c r="A270">
        <v>2023</v>
      </c>
      <c r="B270" s="4" t="s">
        <v>555</v>
      </c>
      <c r="C270" t="s">
        <v>556</v>
      </c>
      <c r="D270" s="6">
        <v>878536</v>
      </c>
    </row>
    <row r="271" spans="1:4" x14ac:dyDescent="0.25">
      <c r="A271">
        <v>2023</v>
      </c>
      <c r="B271" s="4" t="s">
        <v>557</v>
      </c>
      <c r="C271" t="s">
        <v>558</v>
      </c>
      <c r="D271" s="6">
        <v>0</v>
      </c>
    </row>
    <row r="272" spans="1:4" x14ac:dyDescent="0.25">
      <c r="A272">
        <v>2023</v>
      </c>
      <c r="B272" s="4" t="s">
        <v>559</v>
      </c>
      <c r="C272" t="s">
        <v>560</v>
      </c>
      <c r="D272" s="6">
        <v>0</v>
      </c>
    </row>
    <row r="273" spans="1:4" x14ac:dyDescent="0.25">
      <c r="A273">
        <v>2023</v>
      </c>
      <c r="B273" s="4" t="s">
        <v>561</v>
      </c>
      <c r="C273" t="s">
        <v>562</v>
      </c>
      <c r="D273" s="6">
        <v>0</v>
      </c>
    </row>
    <row r="274" spans="1:4" x14ac:dyDescent="0.25">
      <c r="A274">
        <v>2023</v>
      </c>
      <c r="B274" s="4" t="s">
        <v>563</v>
      </c>
      <c r="C274" t="s">
        <v>564</v>
      </c>
      <c r="D274" s="6">
        <v>0</v>
      </c>
    </row>
    <row r="275" spans="1:4" x14ac:dyDescent="0.25">
      <c r="A275">
        <v>2023</v>
      </c>
      <c r="B275" s="4" t="s">
        <v>565</v>
      </c>
      <c r="C275" t="s">
        <v>566</v>
      </c>
      <c r="D275">
        <v>0</v>
      </c>
    </row>
    <row r="276" spans="1:4" x14ac:dyDescent="0.25">
      <c r="A276">
        <v>2023</v>
      </c>
      <c r="B276" s="4" t="s">
        <v>567</v>
      </c>
      <c r="C276" t="s">
        <v>568</v>
      </c>
      <c r="D276" s="6">
        <v>372300</v>
      </c>
    </row>
    <row r="277" spans="1:4" x14ac:dyDescent="0.25">
      <c r="A277">
        <v>2023</v>
      </c>
      <c r="B277" s="4" t="s">
        <v>569</v>
      </c>
      <c r="C277" t="s">
        <v>570</v>
      </c>
      <c r="D277" s="6">
        <v>145098</v>
      </c>
    </row>
    <row r="278" spans="1:4" x14ac:dyDescent="0.25">
      <c r="A278">
        <v>2023</v>
      </c>
      <c r="B278" s="4" t="s">
        <v>571</v>
      </c>
      <c r="C278" t="s">
        <v>572</v>
      </c>
      <c r="D278" s="6">
        <v>353256</v>
      </c>
    </row>
    <row r="279" spans="1:4" x14ac:dyDescent="0.25">
      <c r="A279">
        <v>2023</v>
      </c>
      <c r="B279" s="4" t="s">
        <v>573</v>
      </c>
      <c r="C279" t="s">
        <v>574</v>
      </c>
      <c r="D279" s="6">
        <v>91485</v>
      </c>
    </row>
    <row r="280" spans="1:4" x14ac:dyDescent="0.25">
      <c r="A280">
        <v>2023</v>
      </c>
      <c r="B280" s="4" t="s">
        <v>575</v>
      </c>
      <c r="C280" t="s">
        <v>576</v>
      </c>
      <c r="D280" s="6">
        <v>0</v>
      </c>
    </row>
    <row r="281" spans="1:4" x14ac:dyDescent="0.25">
      <c r="A281">
        <v>2023</v>
      </c>
      <c r="B281" s="4" t="s">
        <v>577</v>
      </c>
      <c r="C281" t="s">
        <v>578</v>
      </c>
      <c r="D281">
        <v>0</v>
      </c>
    </row>
    <row r="282" spans="1:4" x14ac:dyDescent="0.25">
      <c r="A282">
        <v>2023</v>
      </c>
      <c r="B282" s="4" t="s">
        <v>579</v>
      </c>
      <c r="C282" t="s">
        <v>580</v>
      </c>
      <c r="D282" s="6">
        <v>0</v>
      </c>
    </row>
    <row r="283" spans="1:4" x14ac:dyDescent="0.25">
      <c r="A283">
        <v>2023</v>
      </c>
      <c r="B283" s="4" t="s">
        <v>581</v>
      </c>
      <c r="C283" t="s">
        <v>582</v>
      </c>
      <c r="D283" s="6">
        <v>0</v>
      </c>
    </row>
    <row r="284" spans="1:4" x14ac:dyDescent="0.25">
      <c r="A284">
        <v>2023</v>
      </c>
      <c r="B284" s="4" t="s">
        <v>583</v>
      </c>
      <c r="C284" t="s">
        <v>584</v>
      </c>
      <c r="D284" s="6">
        <v>0</v>
      </c>
    </row>
    <row r="285" spans="1:4" x14ac:dyDescent="0.25">
      <c r="A285">
        <v>2023</v>
      </c>
      <c r="B285" s="4" t="s">
        <v>585</v>
      </c>
      <c r="C285" t="s">
        <v>586</v>
      </c>
      <c r="D285" s="6">
        <v>526653</v>
      </c>
    </row>
    <row r="286" spans="1:4" x14ac:dyDescent="0.25">
      <c r="A286">
        <v>2023</v>
      </c>
      <c r="B286" s="4" t="s">
        <v>587</v>
      </c>
      <c r="C286" t="s">
        <v>588</v>
      </c>
      <c r="D286">
        <v>0</v>
      </c>
    </row>
    <row r="287" spans="1:4" x14ac:dyDescent="0.25">
      <c r="A287">
        <v>2023</v>
      </c>
      <c r="B287" s="4" t="s">
        <v>589</v>
      </c>
      <c r="C287" t="s">
        <v>590</v>
      </c>
      <c r="D287" s="6">
        <v>545032</v>
      </c>
    </row>
    <row r="288" spans="1:4" x14ac:dyDescent="0.25">
      <c r="A288">
        <v>2023</v>
      </c>
      <c r="B288" s="4" t="s">
        <v>591</v>
      </c>
      <c r="C288" t="s">
        <v>593</v>
      </c>
      <c r="D288" s="6">
        <v>750000</v>
      </c>
    </row>
    <row r="289" spans="1:4" x14ac:dyDescent="0.25">
      <c r="A289">
        <v>2023</v>
      </c>
      <c r="B289" s="4" t="s">
        <v>594</v>
      </c>
      <c r="C289" t="s">
        <v>595</v>
      </c>
      <c r="D289" s="6">
        <v>0</v>
      </c>
    </row>
    <row r="290" spans="1:4" x14ac:dyDescent="0.25">
      <c r="A290">
        <v>2023</v>
      </c>
      <c r="B290" s="4" t="s">
        <v>596</v>
      </c>
      <c r="C290" t="s">
        <v>597</v>
      </c>
      <c r="D290" s="6">
        <v>3495846</v>
      </c>
    </row>
    <row r="291" spans="1:4" x14ac:dyDescent="0.25">
      <c r="A291">
        <v>2023</v>
      </c>
      <c r="B291" s="4" t="s">
        <v>598</v>
      </c>
      <c r="C291" t="s">
        <v>698</v>
      </c>
      <c r="D291">
        <v>0</v>
      </c>
    </row>
    <row r="292" spans="1:4" x14ac:dyDescent="0.25">
      <c r="A292">
        <v>2023</v>
      </c>
      <c r="B292" s="4" t="s">
        <v>599</v>
      </c>
      <c r="C292" t="s">
        <v>600</v>
      </c>
      <c r="D292" s="6">
        <v>0</v>
      </c>
    </row>
    <row r="293" spans="1:4" x14ac:dyDescent="0.25">
      <c r="A293">
        <v>2023</v>
      </c>
      <c r="B293" s="4" t="s">
        <v>601</v>
      </c>
      <c r="C293" t="s">
        <v>602</v>
      </c>
      <c r="D293">
        <v>0</v>
      </c>
    </row>
    <row r="294" spans="1:4" x14ac:dyDescent="0.25">
      <c r="A294">
        <v>2023</v>
      </c>
      <c r="B294" s="4" t="s">
        <v>603</v>
      </c>
      <c r="C294" t="s">
        <v>604</v>
      </c>
      <c r="D294" s="6">
        <v>1157410</v>
      </c>
    </row>
    <row r="295" spans="1:4" x14ac:dyDescent="0.25">
      <c r="A295">
        <v>2023</v>
      </c>
      <c r="B295" s="4" t="s">
        <v>605</v>
      </c>
      <c r="C295" t="s">
        <v>606</v>
      </c>
      <c r="D295" s="6">
        <v>55948</v>
      </c>
    </row>
    <row r="296" spans="1:4" x14ac:dyDescent="0.25">
      <c r="A296">
        <v>2023</v>
      </c>
      <c r="B296" s="4" t="s">
        <v>607</v>
      </c>
      <c r="C296" t="s">
        <v>608</v>
      </c>
      <c r="D296" s="6">
        <v>0</v>
      </c>
    </row>
    <row r="297" spans="1:4" x14ac:dyDescent="0.25">
      <c r="A297">
        <v>2023</v>
      </c>
      <c r="B297" s="4" t="s">
        <v>609</v>
      </c>
      <c r="C297" t="s">
        <v>610</v>
      </c>
      <c r="D297">
        <v>0</v>
      </c>
    </row>
    <row r="298" spans="1:4" x14ac:dyDescent="0.25">
      <c r="A298">
        <v>2023</v>
      </c>
      <c r="B298" s="4" t="s">
        <v>611</v>
      </c>
      <c r="C298" t="s">
        <v>612</v>
      </c>
      <c r="D298">
        <v>0</v>
      </c>
    </row>
    <row r="299" spans="1:4" x14ac:dyDescent="0.25">
      <c r="A299">
        <v>2023</v>
      </c>
      <c r="B299" s="4" t="s">
        <v>613</v>
      </c>
      <c r="C299" t="s">
        <v>614</v>
      </c>
      <c r="D299" s="6">
        <v>281396</v>
      </c>
    </row>
    <row r="300" spans="1:4" x14ac:dyDescent="0.25">
      <c r="A300">
        <v>2023</v>
      </c>
      <c r="B300" s="4" t="s">
        <v>615</v>
      </c>
      <c r="C300" t="s">
        <v>616</v>
      </c>
      <c r="D300" s="6">
        <v>13225645</v>
      </c>
    </row>
    <row r="301" spans="1:4" x14ac:dyDescent="0.25">
      <c r="A301">
        <v>2023</v>
      </c>
      <c r="B301" s="4" t="s">
        <v>617</v>
      </c>
      <c r="C301" t="s">
        <v>618</v>
      </c>
      <c r="D301" s="6">
        <v>0</v>
      </c>
    </row>
    <row r="302" spans="1:4" x14ac:dyDescent="0.25">
      <c r="A302">
        <v>2023</v>
      </c>
      <c r="B302" s="4" t="s">
        <v>619</v>
      </c>
      <c r="C302" t="s">
        <v>620</v>
      </c>
      <c r="D302" s="6">
        <v>0</v>
      </c>
    </row>
    <row r="303" spans="1:4" x14ac:dyDescent="0.25">
      <c r="A303">
        <v>2023</v>
      </c>
      <c r="B303" s="4" t="s">
        <v>621</v>
      </c>
      <c r="C303" t="s">
        <v>622</v>
      </c>
      <c r="D303" s="6">
        <v>429212</v>
      </c>
    </row>
    <row r="304" spans="1:4" x14ac:dyDescent="0.25">
      <c r="A304">
        <v>2023</v>
      </c>
      <c r="B304" s="4" t="s">
        <v>623</v>
      </c>
      <c r="C304" t="s">
        <v>624</v>
      </c>
      <c r="D304">
        <v>0</v>
      </c>
    </row>
    <row r="305" spans="1:4" x14ac:dyDescent="0.25">
      <c r="A305">
        <v>2023</v>
      </c>
      <c r="B305" s="4" t="s">
        <v>625</v>
      </c>
      <c r="C305" t="s">
        <v>626</v>
      </c>
      <c r="D305" s="6">
        <v>356587</v>
      </c>
    </row>
    <row r="306" spans="1:4" x14ac:dyDescent="0.25">
      <c r="A306">
        <v>2023</v>
      </c>
      <c r="B306" s="4" t="s">
        <v>627</v>
      </c>
      <c r="C306" t="s">
        <v>628</v>
      </c>
      <c r="D306" s="6">
        <v>0</v>
      </c>
    </row>
    <row r="307" spans="1:4" x14ac:dyDescent="0.25">
      <c r="A307">
        <v>2023</v>
      </c>
      <c r="B307" s="4" t="s">
        <v>629</v>
      </c>
      <c r="C307" t="s">
        <v>630</v>
      </c>
      <c r="D307" s="6">
        <v>104870</v>
      </c>
    </row>
    <row r="308" spans="1:4" x14ac:dyDescent="0.25">
      <c r="A308">
        <v>2023</v>
      </c>
      <c r="B308" s="4" t="s">
        <v>631</v>
      </c>
      <c r="C308" t="s">
        <v>632</v>
      </c>
      <c r="D308" s="6">
        <v>0</v>
      </c>
    </row>
    <row r="309" spans="1:4" x14ac:dyDescent="0.25">
      <c r="A309">
        <v>2023</v>
      </c>
      <c r="B309" s="4" t="s">
        <v>633</v>
      </c>
      <c r="C309" t="s">
        <v>634</v>
      </c>
      <c r="D309" s="6">
        <v>300000</v>
      </c>
    </row>
    <row r="310" spans="1:4" x14ac:dyDescent="0.25">
      <c r="A310">
        <v>2023</v>
      </c>
      <c r="B310" s="4" t="s">
        <v>635</v>
      </c>
      <c r="C310" t="s">
        <v>636</v>
      </c>
      <c r="D310" s="6">
        <v>11512979</v>
      </c>
    </row>
    <row r="311" spans="1:4" x14ac:dyDescent="0.25">
      <c r="A311">
        <v>2023</v>
      </c>
      <c r="B311" s="4" t="s">
        <v>637</v>
      </c>
      <c r="C311" t="s">
        <v>638</v>
      </c>
      <c r="D311" s="6">
        <v>640000</v>
      </c>
    </row>
    <row r="312" spans="1:4" x14ac:dyDescent="0.25">
      <c r="A312">
        <v>2023</v>
      </c>
      <c r="B312" s="4" t="s">
        <v>639</v>
      </c>
      <c r="C312" t="s">
        <v>640</v>
      </c>
      <c r="D312" s="6">
        <v>121508</v>
      </c>
    </row>
    <row r="313" spans="1:4" x14ac:dyDescent="0.25">
      <c r="A313">
        <v>2023</v>
      </c>
      <c r="B313" s="4" t="s">
        <v>641</v>
      </c>
      <c r="C313" t="s">
        <v>642</v>
      </c>
      <c r="D313" s="6">
        <v>63366</v>
      </c>
    </row>
    <row r="314" spans="1:4" x14ac:dyDescent="0.25">
      <c r="A314">
        <v>2023</v>
      </c>
      <c r="B314" s="4" t="s">
        <v>643</v>
      </c>
      <c r="C314" t="s">
        <v>644</v>
      </c>
      <c r="D314">
        <v>0</v>
      </c>
    </row>
    <row r="315" spans="1:4" x14ac:dyDescent="0.25">
      <c r="A315">
        <v>2023</v>
      </c>
      <c r="B315" s="4" t="s">
        <v>645</v>
      </c>
      <c r="C315" t="s">
        <v>646</v>
      </c>
      <c r="D315" s="6">
        <v>36760</v>
      </c>
    </row>
    <row r="316" spans="1:4" x14ac:dyDescent="0.25">
      <c r="A316">
        <v>2023</v>
      </c>
      <c r="B316" s="4" t="s">
        <v>647</v>
      </c>
      <c r="C316" t="s">
        <v>648</v>
      </c>
      <c r="D316" s="6">
        <v>0</v>
      </c>
    </row>
    <row r="317" spans="1:4" x14ac:dyDescent="0.25">
      <c r="A317">
        <v>2023</v>
      </c>
      <c r="B317" s="4" t="s">
        <v>649</v>
      </c>
      <c r="C317" t="s">
        <v>650</v>
      </c>
      <c r="D317">
        <v>0</v>
      </c>
    </row>
    <row r="318" spans="1:4" x14ac:dyDescent="0.25">
      <c r="A318">
        <v>2023</v>
      </c>
      <c r="B318" s="4" t="s">
        <v>651</v>
      </c>
      <c r="C318" t="s">
        <v>652</v>
      </c>
      <c r="D318" s="6">
        <v>580313</v>
      </c>
    </row>
    <row r="319" spans="1:4" x14ac:dyDescent="0.25">
      <c r="A319">
        <v>2023</v>
      </c>
      <c r="B319" s="4" t="s">
        <v>653</v>
      </c>
      <c r="C319" t="s">
        <v>654</v>
      </c>
      <c r="D319" s="6">
        <v>1891526</v>
      </c>
    </row>
    <row r="320" spans="1:4" x14ac:dyDescent="0.25">
      <c r="A320">
        <v>2023</v>
      </c>
      <c r="B320" s="4" t="s">
        <v>655</v>
      </c>
      <c r="C320" t="s">
        <v>656</v>
      </c>
      <c r="D320" s="6">
        <v>0</v>
      </c>
    </row>
    <row r="321" spans="1:4" x14ac:dyDescent="0.25">
      <c r="A321">
        <v>2023</v>
      </c>
      <c r="B321" s="4" t="s">
        <v>657</v>
      </c>
      <c r="C321" t="s">
        <v>658</v>
      </c>
      <c r="D321">
        <v>0</v>
      </c>
    </row>
    <row r="322" spans="1:4" x14ac:dyDescent="0.25">
      <c r="A322">
        <v>2023</v>
      </c>
      <c r="B322" s="4" t="s">
        <v>659</v>
      </c>
      <c r="C322" t="s">
        <v>660</v>
      </c>
      <c r="D322" s="6">
        <v>29703</v>
      </c>
    </row>
    <row r="323" spans="1:4" x14ac:dyDescent="0.25">
      <c r="A323">
        <v>2023</v>
      </c>
      <c r="B323" s="4" t="s">
        <v>661</v>
      </c>
      <c r="C323" t="s">
        <v>662</v>
      </c>
      <c r="D323">
        <v>0</v>
      </c>
    </row>
    <row r="324" spans="1:4" x14ac:dyDescent="0.25">
      <c r="A324">
        <v>2023</v>
      </c>
      <c r="B324" s="4" t="s">
        <v>663</v>
      </c>
      <c r="C324" t="s">
        <v>664</v>
      </c>
      <c r="D324" s="6">
        <v>127585</v>
      </c>
    </row>
    <row r="325" spans="1:4" x14ac:dyDescent="0.25">
      <c r="A325">
        <v>2023</v>
      </c>
      <c r="B325" s="4" t="s">
        <v>665</v>
      </c>
      <c r="C325" t="s">
        <v>666</v>
      </c>
      <c r="D325" s="6">
        <v>851778</v>
      </c>
    </row>
    <row r="326" spans="1:4" x14ac:dyDescent="0.25">
      <c r="A326">
        <v>2023</v>
      </c>
      <c r="B326" s="4" t="s">
        <v>667</v>
      </c>
      <c r="C326" t="s">
        <v>668</v>
      </c>
      <c r="D326">
        <v>0</v>
      </c>
    </row>
    <row r="327" spans="1:4" x14ac:dyDescent="0.25">
      <c r="A327">
        <v>2023</v>
      </c>
      <c r="B327" s="4" t="s">
        <v>669</v>
      </c>
      <c r="C327" t="s">
        <v>670</v>
      </c>
      <c r="D327" s="6">
        <v>275000</v>
      </c>
    </row>
    <row r="328" spans="1:4" x14ac:dyDescent="0.25">
      <c r="A328">
        <v>2023</v>
      </c>
      <c r="B328" s="4" t="s">
        <v>671</v>
      </c>
      <c r="C328" t="s">
        <v>672</v>
      </c>
      <c r="D328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CashReserveLevy</vt:lpstr>
      <vt:lpstr>Final</vt:lpstr>
      <vt:lpstr>ActualCRLevy_SAS</vt:lpstr>
      <vt:lpstr>Final!IDX</vt:lpstr>
      <vt:lpstr>CashReserveLevy!Print_Area</vt:lpstr>
      <vt:lpstr>CashReserveLevy!Print_Titles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John</dc:creator>
  <cp:lastModifiedBy>Parker, John [IDOM]</cp:lastModifiedBy>
  <cp:lastPrinted>2022-06-30T15:55:22Z</cp:lastPrinted>
  <dcterms:created xsi:type="dcterms:W3CDTF">2017-11-27T18:39:34Z</dcterms:created>
  <dcterms:modified xsi:type="dcterms:W3CDTF">2022-06-30T15:55:26Z</dcterms:modified>
</cp:coreProperties>
</file>