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5" windowWidth="21330" windowHeight="11490" tabRatio="882" firstSheet="4" activeTab="4"/>
  </bookViews>
  <sheets>
    <sheet name="Budget Total" sheetId="1" state="hidden" r:id="rId1"/>
    <sheet name="Budget by Source" sheetId="2" state="hidden" r:id="rId2"/>
    <sheet name="Payment Total" sheetId="5" state="hidden" r:id="rId3"/>
    <sheet name="Payment by Source" sheetId="3" state="hidden" r:id="rId4"/>
    <sheet name="PaymentSummary" sheetId="12" r:id="rId5"/>
    <sheet name="SurtaxPayment" sheetId="17" state="hidden" r:id="rId6"/>
    <sheet name="Data" sheetId="11" state="hidden" r:id="rId7"/>
    <sheet name="Notes" sheetId="10" state="hidden" r:id="rId8"/>
    <sheet name="SpecialEdDeficit" sheetId="15" state="hidden" r:id="rId9"/>
  </sheets>
  <externalReferences>
    <externalReference r:id="rId10"/>
  </externalReferences>
  <definedNames>
    <definedName name="Districts">'Budget Total'!$B$6:$B$336</definedName>
    <definedName name="_xlnm.Print_Area" localSheetId="4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5">SurtaxPayment!$1:$5</definedName>
  </definedNames>
  <calcPr calcId="145621"/>
</workbook>
</file>

<file path=xl/calcChain.xml><?xml version="1.0" encoding="utf-8"?>
<calcChain xmlns="http://schemas.openxmlformats.org/spreadsheetml/2006/main">
  <c r="S342" i="17" l="1"/>
  <c r="S338" i="17" l="1"/>
  <c r="S340" i="17" l="1"/>
  <c r="S341" i="17" s="1"/>
  <c r="AN332" i="11" l="1"/>
  <c r="G42" i="12"/>
  <c r="E333" i="15" l="1"/>
  <c r="D1" i="15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32" i="11" l="1"/>
  <c r="G332" i="11"/>
  <c r="H332" i="11"/>
  <c r="I332" i="11"/>
  <c r="J332" i="11"/>
  <c r="K332" i="11"/>
  <c r="L332" i="11"/>
  <c r="M332" i="11"/>
  <c r="N332" i="11"/>
  <c r="O332" i="11"/>
  <c r="P332" i="11"/>
  <c r="Q332" i="11"/>
  <c r="R332" i="11"/>
  <c r="S332" i="11"/>
  <c r="T332" i="11"/>
  <c r="U332" i="11"/>
  <c r="V332" i="11"/>
  <c r="W332" i="11"/>
  <c r="X332" i="11"/>
  <c r="Y332" i="11"/>
  <c r="Z332" i="11"/>
  <c r="AA332" i="11"/>
  <c r="AB332" i="11"/>
  <c r="AC332" i="11"/>
  <c r="AD332" i="11"/>
  <c r="AE332" i="11"/>
  <c r="AF332" i="11"/>
  <c r="AG332" i="11"/>
  <c r="AH332" i="11"/>
  <c r="AI332" i="11"/>
  <c r="AJ332" i="11"/>
  <c r="AK332" i="11"/>
  <c r="AL332" i="11"/>
  <c r="AM332" i="11"/>
  <c r="E332" i="11"/>
  <c r="G25" i="12"/>
  <c r="G24" i="12"/>
  <c r="G23" i="12"/>
  <c r="G22" i="12"/>
  <c r="G21" i="12"/>
  <c r="G20" i="12"/>
  <c r="G19" i="12"/>
  <c r="G18" i="12"/>
  <c r="G17" i="12"/>
  <c r="G16" i="12"/>
  <c r="B17" i="12" l="1"/>
  <c r="B18" i="12"/>
  <c r="B19" i="12"/>
  <c r="B20" i="12"/>
  <c r="B21" i="12"/>
  <c r="B22" i="12"/>
  <c r="B23" i="12"/>
  <c r="B24" i="12"/>
  <c r="B25" i="12"/>
  <c r="B26" i="12" s="1"/>
  <c r="B16" i="12"/>
  <c r="X7" i="5" l="1"/>
  <c r="Y7" i="5" s="1"/>
  <c r="C6" i="5"/>
  <c r="D6" i="5"/>
  <c r="E6" i="5"/>
  <c r="G6" i="5"/>
  <c r="Q337" i="5"/>
  <c r="B3" i="10"/>
  <c r="R8" i="5"/>
  <c r="S8" i="5" s="1"/>
  <c r="R9" i="5"/>
  <c r="S9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4" i="5"/>
  <c r="S44" i="5" s="1"/>
  <c r="R45" i="5"/>
  <c r="S45" i="5" s="1"/>
  <c r="R46" i="5"/>
  <c r="S46" i="5" s="1"/>
  <c r="R47" i="5"/>
  <c r="S47" i="5" s="1"/>
  <c r="R48" i="5"/>
  <c r="S48" i="5" s="1"/>
  <c r="R49" i="5"/>
  <c r="S49" i="5" s="1"/>
  <c r="R50" i="5"/>
  <c r="S50" i="5" s="1"/>
  <c r="R51" i="5"/>
  <c r="S51" i="5" s="1"/>
  <c r="R52" i="5"/>
  <c r="S52" i="5" s="1"/>
  <c r="R53" i="5"/>
  <c r="S53" i="5" s="1"/>
  <c r="R54" i="5"/>
  <c r="S54" i="5" s="1"/>
  <c r="R55" i="5"/>
  <c r="S55" i="5" s="1"/>
  <c r="R56" i="5"/>
  <c r="S56" i="5" s="1"/>
  <c r="R57" i="5"/>
  <c r="S57" i="5" s="1"/>
  <c r="R58" i="5"/>
  <c r="S58" i="5" s="1"/>
  <c r="R59" i="5"/>
  <c r="S59" i="5" s="1"/>
  <c r="R60" i="5"/>
  <c r="S60" i="5" s="1"/>
  <c r="R61" i="5"/>
  <c r="S61" i="5" s="1"/>
  <c r="R62" i="5"/>
  <c r="S62" i="5" s="1"/>
  <c r="R63" i="5"/>
  <c r="S63" i="5" s="1"/>
  <c r="R64" i="5"/>
  <c r="S64" i="5" s="1"/>
  <c r="R65" i="5"/>
  <c r="S65" i="5" s="1"/>
  <c r="R66" i="5"/>
  <c r="S66" i="5" s="1"/>
  <c r="R67" i="5"/>
  <c r="S67" i="5" s="1"/>
  <c r="R68" i="5"/>
  <c r="S68" i="5" s="1"/>
  <c r="R69" i="5"/>
  <c r="S69" i="5" s="1"/>
  <c r="R70" i="5"/>
  <c r="S70" i="5" s="1"/>
  <c r="R71" i="5"/>
  <c r="S71" i="5" s="1"/>
  <c r="R72" i="5"/>
  <c r="S72" i="5" s="1"/>
  <c r="R73" i="5"/>
  <c r="S73" i="5" s="1"/>
  <c r="R74" i="5"/>
  <c r="S74" i="5" s="1"/>
  <c r="R75" i="5"/>
  <c r="S75" i="5" s="1"/>
  <c r="R76" i="5"/>
  <c r="S76" i="5" s="1"/>
  <c r="R77" i="5"/>
  <c r="S77" i="5" s="1"/>
  <c r="R78" i="5"/>
  <c r="S78" i="5" s="1"/>
  <c r="R79" i="5"/>
  <c r="S79" i="5" s="1"/>
  <c r="R80" i="5"/>
  <c r="S80" i="5" s="1"/>
  <c r="R81" i="5"/>
  <c r="S81" i="5" s="1"/>
  <c r="R82" i="5"/>
  <c r="S82" i="5" s="1"/>
  <c r="R83" i="5"/>
  <c r="S83" i="5" s="1"/>
  <c r="R84" i="5"/>
  <c r="S84" i="5" s="1"/>
  <c r="R85" i="5"/>
  <c r="S85" i="5" s="1"/>
  <c r="R86" i="5"/>
  <c r="S86" i="5" s="1"/>
  <c r="R87" i="5"/>
  <c r="S87" i="5" s="1"/>
  <c r="R88" i="5"/>
  <c r="S88" i="5" s="1"/>
  <c r="R89" i="5"/>
  <c r="S89" i="5" s="1"/>
  <c r="R90" i="5"/>
  <c r="S90" i="5" s="1"/>
  <c r="R91" i="5"/>
  <c r="S91" i="5" s="1"/>
  <c r="R92" i="5"/>
  <c r="S92" i="5" s="1"/>
  <c r="R93" i="5"/>
  <c r="S93" i="5" s="1"/>
  <c r="R94" i="5"/>
  <c r="S94" i="5" s="1"/>
  <c r="R95" i="5"/>
  <c r="S95" i="5" s="1"/>
  <c r="R96" i="5"/>
  <c r="S96" i="5" s="1"/>
  <c r="R97" i="5"/>
  <c r="S97" i="5" s="1"/>
  <c r="R98" i="5"/>
  <c r="S98" i="5" s="1"/>
  <c r="R99" i="5"/>
  <c r="S99" i="5" s="1"/>
  <c r="R100" i="5"/>
  <c r="S100" i="5" s="1"/>
  <c r="R101" i="5"/>
  <c r="S101" i="5" s="1"/>
  <c r="R102" i="5"/>
  <c r="S102" i="5" s="1"/>
  <c r="R103" i="5"/>
  <c r="S103" i="5" s="1"/>
  <c r="R104" i="5"/>
  <c r="S104" i="5" s="1"/>
  <c r="R105" i="5"/>
  <c r="S105" i="5" s="1"/>
  <c r="R106" i="5"/>
  <c r="S106" i="5" s="1"/>
  <c r="R107" i="5"/>
  <c r="S107" i="5" s="1"/>
  <c r="R108" i="5"/>
  <c r="S108" i="5" s="1"/>
  <c r="R109" i="5"/>
  <c r="S109" i="5" s="1"/>
  <c r="R110" i="5"/>
  <c r="S110" i="5" s="1"/>
  <c r="R111" i="5"/>
  <c r="S111" i="5" s="1"/>
  <c r="R112" i="5"/>
  <c r="S112" i="5" s="1"/>
  <c r="R113" i="5"/>
  <c r="S113" i="5" s="1"/>
  <c r="R114" i="5"/>
  <c r="S114" i="5" s="1"/>
  <c r="R115" i="5"/>
  <c r="S115" i="5" s="1"/>
  <c r="R116" i="5"/>
  <c r="S116" i="5" s="1"/>
  <c r="R117" i="5"/>
  <c r="S117" i="5" s="1"/>
  <c r="R118" i="5"/>
  <c r="S118" i="5" s="1"/>
  <c r="R119" i="5"/>
  <c r="S119" i="5" s="1"/>
  <c r="R120" i="5"/>
  <c r="S120" i="5" s="1"/>
  <c r="R121" i="5"/>
  <c r="S121" i="5" s="1"/>
  <c r="R122" i="5"/>
  <c r="S122" i="5" s="1"/>
  <c r="R123" i="5"/>
  <c r="S123" i="5" s="1"/>
  <c r="R124" i="5"/>
  <c r="S124" i="5" s="1"/>
  <c r="R125" i="5"/>
  <c r="S125" i="5" s="1"/>
  <c r="R126" i="5"/>
  <c r="S126" i="5" s="1"/>
  <c r="R127" i="5"/>
  <c r="S127" i="5" s="1"/>
  <c r="R128" i="5"/>
  <c r="S128" i="5" s="1"/>
  <c r="R129" i="5"/>
  <c r="S129" i="5" s="1"/>
  <c r="R130" i="5"/>
  <c r="S130" i="5" s="1"/>
  <c r="R131" i="5"/>
  <c r="S131" i="5" s="1"/>
  <c r="R132" i="5"/>
  <c r="S132" i="5" s="1"/>
  <c r="R133" i="5"/>
  <c r="S133" i="5" s="1"/>
  <c r="R134" i="5"/>
  <c r="S134" i="5" s="1"/>
  <c r="R135" i="5"/>
  <c r="S135" i="5" s="1"/>
  <c r="R136" i="5"/>
  <c r="S136" i="5" s="1"/>
  <c r="R137" i="5"/>
  <c r="S137" i="5" s="1"/>
  <c r="R138" i="5"/>
  <c r="S138" i="5" s="1"/>
  <c r="R139" i="5"/>
  <c r="S139" i="5" s="1"/>
  <c r="R140" i="5"/>
  <c r="S140" i="5" s="1"/>
  <c r="R141" i="5"/>
  <c r="S141" i="5" s="1"/>
  <c r="R142" i="5"/>
  <c r="S142" i="5" s="1"/>
  <c r="R143" i="5"/>
  <c r="S143" i="5" s="1"/>
  <c r="R144" i="5"/>
  <c r="S144" i="5" s="1"/>
  <c r="R145" i="5"/>
  <c r="S145" i="5" s="1"/>
  <c r="R146" i="5"/>
  <c r="S146" i="5" s="1"/>
  <c r="R147" i="5"/>
  <c r="S147" i="5" s="1"/>
  <c r="R148" i="5"/>
  <c r="S148" i="5" s="1"/>
  <c r="R149" i="5"/>
  <c r="S149" i="5" s="1"/>
  <c r="R150" i="5"/>
  <c r="S150" i="5" s="1"/>
  <c r="R151" i="5"/>
  <c r="S151" i="5" s="1"/>
  <c r="R152" i="5"/>
  <c r="S152" i="5" s="1"/>
  <c r="R153" i="5"/>
  <c r="S153" i="5" s="1"/>
  <c r="R154" i="5"/>
  <c r="S154" i="5" s="1"/>
  <c r="R155" i="5"/>
  <c r="S155" i="5" s="1"/>
  <c r="R156" i="5"/>
  <c r="S156" i="5" s="1"/>
  <c r="R157" i="5"/>
  <c r="S157" i="5" s="1"/>
  <c r="R158" i="5"/>
  <c r="S158" i="5" s="1"/>
  <c r="R159" i="5"/>
  <c r="S159" i="5" s="1"/>
  <c r="R160" i="5"/>
  <c r="S160" i="5" s="1"/>
  <c r="R161" i="5"/>
  <c r="S161" i="5" s="1"/>
  <c r="R162" i="5"/>
  <c r="S162" i="5" s="1"/>
  <c r="R163" i="5"/>
  <c r="S163" i="5" s="1"/>
  <c r="R164" i="5"/>
  <c r="S164" i="5" s="1"/>
  <c r="R165" i="5"/>
  <c r="S165" i="5" s="1"/>
  <c r="R166" i="5"/>
  <c r="S166" i="5" s="1"/>
  <c r="R167" i="5"/>
  <c r="S167" i="5" s="1"/>
  <c r="R168" i="5"/>
  <c r="S168" i="5" s="1"/>
  <c r="R169" i="5"/>
  <c r="S169" i="5" s="1"/>
  <c r="R170" i="5"/>
  <c r="S170" i="5" s="1"/>
  <c r="R171" i="5"/>
  <c r="S171" i="5" s="1"/>
  <c r="R172" i="5"/>
  <c r="S172" i="5" s="1"/>
  <c r="R173" i="5"/>
  <c r="S173" i="5" s="1"/>
  <c r="R174" i="5"/>
  <c r="S174" i="5" s="1"/>
  <c r="R175" i="5"/>
  <c r="S175" i="5" s="1"/>
  <c r="R176" i="5"/>
  <c r="S176" i="5" s="1"/>
  <c r="R177" i="5"/>
  <c r="S177" i="5" s="1"/>
  <c r="R178" i="5"/>
  <c r="S178" i="5" s="1"/>
  <c r="R179" i="5"/>
  <c r="S179" i="5" s="1"/>
  <c r="R180" i="5"/>
  <c r="S180" i="5" s="1"/>
  <c r="R181" i="5"/>
  <c r="S181" i="5" s="1"/>
  <c r="R182" i="5"/>
  <c r="S182" i="5" s="1"/>
  <c r="R183" i="5"/>
  <c r="S183" i="5" s="1"/>
  <c r="R184" i="5"/>
  <c r="S184" i="5" s="1"/>
  <c r="R185" i="5"/>
  <c r="S185" i="5" s="1"/>
  <c r="R186" i="5"/>
  <c r="S186" i="5" s="1"/>
  <c r="R187" i="5"/>
  <c r="S187" i="5" s="1"/>
  <c r="R188" i="5"/>
  <c r="S188" i="5" s="1"/>
  <c r="R189" i="5"/>
  <c r="S189" i="5" s="1"/>
  <c r="R190" i="5"/>
  <c r="S190" i="5" s="1"/>
  <c r="R191" i="5"/>
  <c r="S191" i="5" s="1"/>
  <c r="R192" i="5"/>
  <c r="S192" i="5" s="1"/>
  <c r="R193" i="5"/>
  <c r="S193" i="5" s="1"/>
  <c r="R194" i="5"/>
  <c r="S194" i="5" s="1"/>
  <c r="R195" i="5"/>
  <c r="S195" i="5" s="1"/>
  <c r="R196" i="5"/>
  <c r="S196" i="5" s="1"/>
  <c r="R197" i="5"/>
  <c r="S197" i="5" s="1"/>
  <c r="R198" i="5"/>
  <c r="S198" i="5" s="1"/>
  <c r="R199" i="5"/>
  <c r="S199" i="5" s="1"/>
  <c r="R200" i="5"/>
  <c r="S200" i="5" s="1"/>
  <c r="R201" i="5"/>
  <c r="S201" i="5" s="1"/>
  <c r="R202" i="5"/>
  <c r="S202" i="5" s="1"/>
  <c r="R203" i="5"/>
  <c r="S203" i="5" s="1"/>
  <c r="R204" i="5"/>
  <c r="S204" i="5" s="1"/>
  <c r="R205" i="5"/>
  <c r="S205" i="5" s="1"/>
  <c r="R206" i="5"/>
  <c r="S206" i="5" s="1"/>
  <c r="R207" i="5"/>
  <c r="S207" i="5" s="1"/>
  <c r="R208" i="5"/>
  <c r="S208" i="5" s="1"/>
  <c r="R209" i="5"/>
  <c r="S209" i="5" s="1"/>
  <c r="R210" i="5"/>
  <c r="S210" i="5" s="1"/>
  <c r="R211" i="5"/>
  <c r="S211" i="5" s="1"/>
  <c r="R212" i="5"/>
  <c r="S212" i="5" s="1"/>
  <c r="R213" i="5"/>
  <c r="S213" i="5" s="1"/>
  <c r="R214" i="5"/>
  <c r="S214" i="5" s="1"/>
  <c r="R215" i="5"/>
  <c r="S215" i="5" s="1"/>
  <c r="R216" i="5"/>
  <c r="S216" i="5" s="1"/>
  <c r="R217" i="5"/>
  <c r="S217" i="5" s="1"/>
  <c r="R218" i="5"/>
  <c r="S218" i="5" s="1"/>
  <c r="R219" i="5"/>
  <c r="S219" i="5" s="1"/>
  <c r="R220" i="5"/>
  <c r="S220" i="5" s="1"/>
  <c r="R221" i="5"/>
  <c r="S221" i="5" s="1"/>
  <c r="R222" i="5"/>
  <c r="S222" i="5" s="1"/>
  <c r="R223" i="5"/>
  <c r="S223" i="5" s="1"/>
  <c r="R224" i="5"/>
  <c r="S224" i="5" s="1"/>
  <c r="R225" i="5"/>
  <c r="S225" i="5" s="1"/>
  <c r="R226" i="5"/>
  <c r="S226" i="5" s="1"/>
  <c r="R227" i="5"/>
  <c r="S227" i="5" s="1"/>
  <c r="R228" i="5"/>
  <c r="S228" i="5" s="1"/>
  <c r="R229" i="5"/>
  <c r="S229" i="5" s="1"/>
  <c r="R230" i="5"/>
  <c r="S230" i="5" s="1"/>
  <c r="R231" i="5"/>
  <c r="S231" i="5" s="1"/>
  <c r="R232" i="5"/>
  <c r="S232" i="5" s="1"/>
  <c r="R233" i="5"/>
  <c r="S233" i="5" s="1"/>
  <c r="R234" i="5"/>
  <c r="S234" i="5" s="1"/>
  <c r="R235" i="5"/>
  <c r="S235" i="5" s="1"/>
  <c r="R236" i="5"/>
  <c r="S236" i="5" s="1"/>
  <c r="R237" i="5"/>
  <c r="S237" i="5" s="1"/>
  <c r="R238" i="5"/>
  <c r="S238" i="5" s="1"/>
  <c r="R239" i="5"/>
  <c r="S239" i="5" s="1"/>
  <c r="R240" i="5"/>
  <c r="S240" i="5" s="1"/>
  <c r="R241" i="5"/>
  <c r="S241" i="5" s="1"/>
  <c r="R242" i="5"/>
  <c r="S242" i="5" s="1"/>
  <c r="R243" i="5"/>
  <c r="S243" i="5" s="1"/>
  <c r="R244" i="5"/>
  <c r="S244" i="5" s="1"/>
  <c r="R245" i="5"/>
  <c r="S245" i="5" s="1"/>
  <c r="R246" i="5"/>
  <c r="S246" i="5" s="1"/>
  <c r="R247" i="5"/>
  <c r="S247" i="5" s="1"/>
  <c r="R248" i="5"/>
  <c r="S248" i="5" s="1"/>
  <c r="R249" i="5"/>
  <c r="S249" i="5" s="1"/>
  <c r="R250" i="5"/>
  <c r="S250" i="5" s="1"/>
  <c r="R251" i="5"/>
  <c r="S251" i="5" s="1"/>
  <c r="R252" i="5"/>
  <c r="S252" i="5" s="1"/>
  <c r="R253" i="5"/>
  <c r="S253" i="5" s="1"/>
  <c r="R254" i="5"/>
  <c r="S254" i="5" s="1"/>
  <c r="R255" i="5"/>
  <c r="S255" i="5" s="1"/>
  <c r="R256" i="5"/>
  <c r="S256" i="5" s="1"/>
  <c r="R257" i="5"/>
  <c r="S257" i="5" s="1"/>
  <c r="R258" i="5"/>
  <c r="S258" i="5" s="1"/>
  <c r="R259" i="5"/>
  <c r="S259" i="5" s="1"/>
  <c r="R260" i="5"/>
  <c r="S260" i="5" s="1"/>
  <c r="R261" i="5"/>
  <c r="S261" i="5" s="1"/>
  <c r="R262" i="5"/>
  <c r="S262" i="5" s="1"/>
  <c r="R263" i="5"/>
  <c r="S263" i="5" s="1"/>
  <c r="R264" i="5"/>
  <c r="S264" i="5" s="1"/>
  <c r="R265" i="5"/>
  <c r="S265" i="5" s="1"/>
  <c r="R266" i="5"/>
  <c r="S266" i="5" s="1"/>
  <c r="R267" i="5"/>
  <c r="S267" i="5" s="1"/>
  <c r="R268" i="5"/>
  <c r="S268" i="5" s="1"/>
  <c r="R269" i="5"/>
  <c r="S269" i="5" s="1"/>
  <c r="R270" i="5"/>
  <c r="S270" i="5" s="1"/>
  <c r="R271" i="5"/>
  <c r="S271" i="5" s="1"/>
  <c r="R272" i="5"/>
  <c r="S272" i="5" s="1"/>
  <c r="R273" i="5"/>
  <c r="S273" i="5" s="1"/>
  <c r="R274" i="5"/>
  <c r="S274" i="5" s="1"/>
  <c r="R275" i="5"/>
  <c r="S275" i="5" s="1"/>
  <c r="R276" i="5"/>
  <c r="S276" i="5" s="1"/>
  <c r="R277" i="5"/>
  <c r="S277" i="5" s="1"/>
  <c r="R278" i="5"/>
  <c r="S278" i="5" s="1"/>
  <c r="R279" i="5"/>
  <c r="S279" i="5" s="1"/>
  <c r="R280" i="5"/>
  <c r="S280" i="5" s="1"/>
  <c r="R281" i="5"/>
  <c r="S281" i="5" s="1"/>
  <c r="R282" i="5"/>
  <c r="S282" i="5" s="1"/>
  <c r="R283" i="5"/>
  <c r="S283" i="5" s="1"/>
  <c r="R284" i="5"/>
  <c r="S284" i="5" s="1"/>
  <c r="R285" i="5"/>
  <c r="S285" i="5" s="1"/>
  <c r="R286" i="5"/>
  <c r="S286" i="5" s="1"/>
  <c r="R287" i="5"/>
  <c r="S287" i="5" s="1"/>
  <c r="R288" i="5"/>
  <c r="S288" i="5" s="1"/>
  <c r="R289" i="5"/>
  <c r="S289" i="5" s="1"/>
  <c r="R290" i="5"/>
  <c r="S290" i="5" s="1"/>
  <c r="R291" i="5"/>
  <c r="S291" i="5" s="1"/>
  <c r="R292" i="5"/>
  <c r="S292" i="5" s="1"/>
  <c r="R293" i="5"/>
  <c r="S293" i="5" s="1"/>
  <c r="R294" i="5"/>
  <c r="S294" i="5" s="1"/>
  <c r="R295" i="5"/>
  <c r="S295" i="5" s="1"/>
  <c r="R296" i="5"/>
  <c r="S296" i="5" s="1"/>
  <c r="R297" i="5"/>
  <c r="S297" i="5" s="1"/>
  <c r="R298" i="5"/>
  <c r="S298" i="5" s="1"/>
  <c r="R299" i="5"/>
  <c r="S299" i="5" s="1"/>
  <c r="R300" i="5"/>
  <c r="S300" i="5" s="1"/>
  <c r="R301" i="5"/>
  <c r="S301" i="5" s="1"/>
  <c r="R302" i="5"/>
  <c r="S302" i="5" s="1"/>
  <c r="R303" i="5"/>
  <c r="S303" i="5" s="1"/>
  <c r="R304" i="5"/>
  <c r="S304" i="5" s="1"/>
  <c r="R305" i="5"/>
  <c r="S305" i="5" s="1"/>
  <c r="R306" i="5"/>
  <c r="S306" i="5" s="1"/>
  <c r="R307" i="5"/>
  <c r="S307" i="5" s="1"/>
  <c r="R308" i="5"/>
  <c r="S308" i="5" s="1"/>
  <c r="R309" i="5"/>
  <c r="S309" i="5" s="1"/>
  <c r="R310" i="5"/>
  <c r="S310" i="5" s="1"/>
  <c r="R311" i="5"/>
  <c r="S311" i="5" s="1"/>
  <c r="R312" i="5"/>
  <c r="S312" i="5" s="1"/>
  <c r="R313" i="5"/>
  <c r="S313" i="5" s="1"/>
  <c r="R314" i="5"/>
  <c r="S314" i="5" s="1"/>
  <c r="R315" i="5"/>
  <c r="S315" i="5" s="1"/>
  <c r="R316" i="5"/>
  <c r="S316" i="5" s="1"/>
  <c r="R317" i="5"/>
  <c r="S317" i="5" s="1"/>
  <c r="R318" i="5"/>
  <c r="S318" i="5" s="1"/>
  <c r="R319" i="5"/>
  <c r="S319" i="5" s="1"/>
  <c r="R320" i="5"/>
  <c r="S320" i="5" s="1"/>
  <c r="R321" i="5"/>
  <c r="S321" i="5" s="1"/>
  <c r="R322" i="5"/>
  <c r="S322" i="5" s="1"/>
  <c r="R323" i="5"/>
  <c r="S323" i="5" s="1"/>
  <c r="R324" i="5"/>
  <c r="S324" i="5" s="1"/>
  <c r="R325" i="5"/>
  <c r="S325" i="5" s="1"/>
  <c r="R326" i="5"/>
  <c r="S326" i="5" s="1"/>
  <c r="R327" i="5"/>
  <c r="S327" i="5" s="1"/>
  <c r="R328" i="5"/>
  <c r="S328" i="5" s="1"/>
  <c r="R329" i="5"/>
  <c r="S329" i="5" s="1"/>
  <c r="R330" i="5"/>
  <c r="S330" i="5" s="1"/>
  <c r="R331" i="5"/>
  <c r="S331" i="5" s="1"/>
  <c r="R332" i="5"/>
  <c r="S332" i="5" s="1"/>
  <c r="R333" i="5"/>
  <c r="S333" i="5" s="1"/>
  <c r="R334" i="5"/>
  <c r="S334" i="5" s="1"/>
  <c r="R335" i="5"/>
  <c r="S335" i="5" s="1"/>
  <c r="R336" i="5"/>
  <c r="S336" i="5" s="1"/>
  <c r="R7" i="5"/>
  <c r="S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 s="1"/>
  <c r="X28" i="5"/>
  <c r="Y28" i="5" s="1"/>
  <c r="X29" i="5"/>
  <c r="Y29" i="5" s="1"/>
  <c r="X30" i="5"/>
  <c r="Y30" i="5" s="1"/>
  <c r="X31" i="5"/>
  <c r="Y31" i="5" s="1"/>
  <c r="X32" i="5"/>
  <c r="Y32" i="5" s="1"/>
  <c r="X33" i="5"/>
  <c r="Y33" i="5" s="1"/>
  <c r="X34" i="5"/>
  <c r="Y34" i="5" s="1"/>
  <c r="X35" i="5"/>
  <c r="Y35" i="5" s="1"/>
  <c r="X36" i="5"/>
  <c r="Y36" i="5" s="1"/>
  <c r="X37" i="5"/>
  <c r="Y37" i="5" s="1"/>
  <c r="X38" i="5"/>
  <c r="Y38" i="5" s="1"/>
  <c r="X39" i="5"/>
  <c r="Y39" i="5" s="1"/>
  <c r="X40" i="5"/>
  <c r="Y40" i="5" s="1"/>
  <c r="X41" i="5"/>
  <c r="Y41" i="5" s="1"/>
  <c r="X42" i="5"/>
  <c r="Y42" i="5" s="1"/>
  <c r="X43" i="5"/>
  <c r="Y43" i="5" s="1"/>
  <c r="X44" i="5"/>
  <c r="Y44" i="5" s="1"/>
  <c r="X45" i="5"/>
  <c r="Y45" i="5" s="1"/>
  <c r="X46" i="5"/>
  <c r="Y46" i="5" s="1"/>
  <c r="X47" i="5"/>
  <c r="Y47" i="5" s="1"/>
  <c r="X48" i="5"/>
  <c r="Y48" i="5" s="1"/>
  <c r="X49" i="5"/>
  <c r="Y49" i="5" s="1"/>
  <c r="X50" i="5"/>
  <c r="Y50" i="5" s="1"/>
  <c r="X51" i="5"/>
  <c r="Y51" i="5" s="1"/>
  <c r="X52" i="5"/>
  <c r="Y52" i="5" s="1"/>
  <c r="X53" i="5"/>
  <c r="Y53" i="5" s="1"/>
  <c r="X54" i="5"/>
  <c r="Y54" i="5" s="1"/>
  <c r="X55" i="5"/>
  <c r="Y55" i="5" s="1"/>
  <c r="X56" i="5"/>
  <c r="Y56" i="5" s="1"/>
  <c r="X57" i="5"/>
  <c r="Y57" i="5" s="1"/>
  <c r="X58" i="5"/>
  <c r="Y58" i="5" s="1"/>
  <c r="X59" i="5"/>
  <c r="Y59" i="5" s="1"/>
  <c r="X60" i="5"/>
  <c r="Y60" i="5" s="1"/>
  <c r="X61" i="5"/>
  <c r="Y61" i="5" s="1"/>
  <c r="X62" i="5"/>
  <c r="Y62" i="5" s="1"/>
  <c r="X63" i="5"/>
  <c r="Y63" i="5" s="1"/>
  <c r="X64" i="5"/>
  <c r="Y64" i="5" s="1"/>
  <c r="X65" i="5"/>
  <c r="Y65" i="5" s="1"/>
  <c r="X66" i="5"/>
  <c r="Y66" i="5" s="1"/>
  <c r="X67" i="5"/>
  <c r="Y67" i="5" s="1"/>
  <c r="X68" i="5"/>
  <c r="Y68" i="5" s="1"/>
  <c r="X69" i="5"/>
  <c r="Y69" i="5" s="1"/>
  <c r="X70" i="5"/>
  <c r="Y70" i="5" s="1"/>
  <c r="X71" i="5"/>
  <c r="Y71" i="5" s="1"/>
  <c r="X72" i="5"/>
  <c r="Y72" i="5" s="1"/>
  <c r="X73" i="5"/>
  <c r="Y73" i="5" s="1"/>
  <c r="X74" i="5"/>
  <c r="Y74" i="5" s="1"/>
  <c r="X75" i="5"/>
  <c r="Y75" i="5" s="1"/>
  <c r="X76" i="5"/>
  <c r="Y76" i="5" s="1"/>
  <c r="X77" i="5"/>
  <c r="Y77" i="5" s="1"/>
  <c r="X78" i="5"/>
  <c r="Y78" i="5" s="1"/>
  <c r="X79" i="5"/>
  <c r="Y79" i="5" s="1"/>
  <c r="X80" i="5"/>
  <c r="Y80" i="5" s="1"/>
  <c r="X81" i="5"/>
  <c r="Y81" i="5" s="1"/>
  <c r="X82" i="5"/>
  <c r="Y82" i="5" s="1"/>
  <c r="X83" i="5"/>
  <c r="Y83" i="5" s="1"/>
  <c r="X84" i="5"/>
  <c r="Y84" i="5" s="1"/>
  <c r="X85" i="5"/>
  <c r="Y85" i="5" s="1"/>
  <c r="X86" i="5"/>
  <c r="Y86" i="5" s="1"/>
  <c r="X87" i="5"/>
  <c r="Y87" i="5" s="1"/>
  <c r="X88" i="5"/>
  <c r="Y88" i="5" s="1"/>
  <c r="X89" i="5"/>
  <c r="Y89" i="5" s="1"/>
  <c r="X90" i="5"/>
  <c r="Y90" i="5" s="1"/>
  <c r="X91" i="5"/>
  <c r="Y91" i="5" s="1"/>
  <c r="X92" i="5"/>
  <c r="Y92" i="5" s="1"/>
  <c r="X93" i="5"/>
  <c r="Y93" i="5" s="1"/>
  <c r="X94" i="5"/>
  <c r="Y94" i="5" s="1"/>
  <c r="X95" i="5"/>
  <c r="Y95" i="5" s="1"/>
  <c r="X96" i="5"/>
  <c r="Y96" i="5" s="1"/>
  <c r="X97" i="5"/>
  <c r="Y97" i="5" s="1"/>
  <c r="X98" i="5"/>
  <c r="Y98" i="5" s="1"/>
  <c r="X99" i="5"/>
  <c r="Y99" i="5" s="1"/>
  <c r="X100" i="5"/>
  <c r="Y100" i="5" s="1"/>
  <c r="X101" i="5"/>
  <c r="Y101" i="5" s="1"/>
  <c r="X102" i="5"/>
  <c r="Y102" i="5" s="1"/>
  <c r="X103" i="5"/>
  <c r="Y103" i="5" s="1"/>
  <c r="X104" i="5"/>
  <c r="Y104" i="5" s="1"/>
  <c r="X105" i="5"/>
  <c r="Y105" i="5" s="1"/>
  <c r="X106" i="5"/>
  <c r="Y106" i="5" s="1"/>
  <c r="X107" i="5"/>
  <c r="Y107" i="5" s="1"/>
  <c r="X108" i="5"/>
  <c r="Y108" i="5" s="1"/>
  <c r="X109" i="5"/>
  <c r="Y109" i="5" s="1"/>
  <c r="X110" i="5"/>
  <c r="Y110" i="5" s="1"/>
  <c r="X111" i="5"/>
  <c r="Y111" i="5" s="1"/>
  <c r="X112" i="5"/>
  <c r="Y112" i="5" s="1"/>
  <c r="X113" i="5"/>
  <c r="Y113" i="5" s="1"/>
  <c r="X114" i="5"/>
  <c r="Y114" i="5" s="1"/>
  <c r="X115" i="5"/>
  <c r="Y115" i="5" s="1"/>
  <c r="X116" i="5"/>
  <c r="Y116" i="5" s="1"/>
  <c r="X117" i="5"/>
  <c r="Y117" i="5" s="1"/>
  <c r="X118" i="5"/>
  <c r="Y118" i="5" s="1"/>
  <c r="X119" i="5"/>
  <c r="Y119" i="5" s="1"/>
  <c r="X120" i="5"/>
  <c r="Y120" i="5" s="1"/>
  <c r="X121" i="5"/>
  <c r="Y121" i="5" s="1"/>
  <c r="X122" i="5"/>
  <c r="Y122" i="5" s="1"/>
  <c r="X123" i="5"/>
  <c r="Y123" i="5" s="1"/>
  <c r="X124" i="5"/>
  <c r="Y124" i="5" s="1"/>
  <c r="X125" i="5"/>
  <c r="Y125" i="5" s="1"/>
  <c r="X126" i="5"/>
  <c r="Y126" i="5" s="1"/>
  <c r="X127" i="5"/>
  <c r="Y127" i="5" s="1"/>
  <c r="X128" i="5"/>
  <c r="Y128" i="5" s="1"/>
  <c r="X129" i="5"/>
  <c r="Y129" i="5" s="1"/>
  <c r="X130" i="5"/>
  <c r="Y130" i="5" s="1"/>
  <c r="X131" i="5"/>
  <c r="Y131" i="5" s="1"/>
  <c r="X132" i="5"/>
  <c r="Y132" i="5" s="1"/>
  <c r="X133" i="5"/>
  <c r="Y133" i="5" s="1"/>
  <c r="X134" i="5"/>
  <c r="Y134" i="5" s="1"/>
  <c r="X135" i="5"/>
  <c r="Y135" i="5" s="1"/>
  <c r="X136" i="5"/>
  <c r="Y136" i="5" s="1"/>
  <c r="X137" i="5"/>
  <c r="Y137" i="5" s="1"/>
  <c r="X138" i="5"/>
  <c r="Y138" i="5" s="1"/>
  <c r="X139" i="5"/>
  <c r="Y139" i="5" s="1"/>
  <c r="X140" i="5"/>
  <c r="Y140" i="5" s="1"/>
  <c r="X141" i="5"/>
  <c r="Y141" i="5" s="1"/>
  <c r="X142" i="5"/>
  <c r="Y142" i="5" s="1"/>
  <c r="X143" i="5"/>
  <c r="Y143" i="5" s="1"/>
  <c r="X144" i="5"/>
  <c r="Y144" i="5" s="1"/>
  <c r="X145" i="5"/>
  <c r="Y145" i="5" s="1"/>
  <c r="X146" i="5"/>
  <c r="Y146" i="5" s="1"/>
  <c r="X147" i="5"/>
  <c r="Y147" i="5" s="1"/>
  <c r="X148" i="5"/>
  <c r="Y148" i="5" s="1"/>
  <c r="X149" i="5"/>
  <c r="Y149" i="5" s="1"/>
  <c r="X150" i="5"/>
  <c r="Y150" i="5" s="1"/>
  <c r="X151" i="5"/>
  <c r="Y151" i="5" s="1"/>
  <c r="X152" i="5"/>
  <c r="Y152" i="5" s="1"/>
  <c r="X153" i="5"/>
  <c r="Y153" i="5" s="1"/>
  <c r="X154" i="5"/>
  <c r="Y154" i="5" s="1"/>
  <c r="X155" i="5"/>
  <c r="Y155" i="5" s="1"/>
  <c r="X156" i="5"/>
  <c r="Y156" i="5" s="1"/>
  <c r="X157" i="5"/>
  <c r="Y157" i="5" s="1"/>
  <c r="X158" i="5"/>
  <c r="Y158" i="5" s="1"/>
  <c r="X159" i="5"/>
  <c r="Y159" i="5" s="1"/>
  <c r="X160" i="5"/>
  <c r="Y160" i="5" s="1"/>
  <c r="X161" i="5"/>
  <c r="Y161" i="5" s="1"/>
  <c r="X162" i="5"/>
  <c r="Y162" i="5" s="1"/>
  <c r="X163" i="5"/>
  <c r="Y163" i="5" s="1"/>
  <c r="X164" i="5"/>
  <c r="Y164" i="5" s="1"/>
  <c r="X165" i="5"/>
  <c r="Y165" i="5" s="1"/>
  <c r="X166" i="5"/>
  <c r="Y166" i="5" s="1"/>
  <c r="X167" i="5"/>
  <c r="Y167" i="5" s="1"/>
  <c r="X168" i="5"/>
  <c r="Y168" i="5" s="1"/>
  <c r="X169" i="5"/>
  <c r="Y169" i="5" s="1"/>
  <c r="X170" i="5"/>
  <c r="Y170" i="5" s="1"/>
  <c r="X171" i="5"/>
  <c r="Y171" i="5" s="1"/>
  <c r="X172" i="5"/>
  <c r="Y172" i="5" s="1"/>
  <c r="X173" i="5"/>
  <c r="Y173" i="5" s="1"/>
  <c r="X174" i="5"/>
  <c r="Y174" i="5" s="1"/>
  <c r="X175" i="5"/>
  <c r="Y175" i="5" s="1"/>
  <c r="X176" i="5"/>
  <c r="Y176" i="5" s="1"/>
  <c r="X177" i="5"/>
  <c r="Y177" i="5" s="1"/>
  <c r="X178" i="5"/>
  <c r="Y178" i="5" s="1"/>
  <c r="X179" i="5"/>
  <c r="Y179" i="5" s="1"/>
  <c r="X180" i="5"/>
  <c r="Y180" i="5" s="1"/>
  <c r="X181" i="5"/>
  <c r="Y181" i="5" s="1"/>
  <c r="X182" i="5"/>
  <c r="Y182" i="5" s="1"/>
  <c r="X183" i="5"/>
  <c r="Y183" i="5" s="1"/>
  <c r="X184" i="5"/>
  <c r="Y184" i="5" s="1"/>
  <c r="X185" i="5"/>
  <c r="Y185" i="5" s="1"/>
  <c r="X186" i="5"/>
  <c r="Y186" i="5" s="1"/>
  <c r="X187" i="5"/>
  <c r="Y187" i="5" s="1"/>
  <c r="X188" i="5"/>
  <c r="Y188" i="5" s="1"/>
  <c r="X189" i="5"/>
  <c r="Y189" i="5" s="1"/>
  <c r="X190" i="5"/>
  <c r="Y190" i="5" s="1"/>
  <c r="X191" i="5"/>
  <c r="Y191" i="5" s="1"/>
  <c r="X192" i="5"/>
  <c r="Y192" i="5" s="1"/>
  <c r="X193" i="5"/>
  <c r="Y193" i="5" s="1"/>
  <c r="X194" i="5"/>
  <c r="Y194" i="5" s="1"/>
  <c r="X195" i="5"/>
  <c r="Y195" i="5" s="1"/>
  <c r="X196" i="5"/>
  <c r="Y196" i="5" s="1"/>
  <c r="X197" i="5"/>
  <c r="Y197" i="5" s="1"/>
  <c r="X198" i="5"/>
  <c r="Y198" i="5" s="1"/>
  <c r="X199" i="5"/>
  <c r="Y199" i="5" s="1"/>
  <c r="X200" i="5"/>
  <c r="Y200" i="5" s="1"/>
  <c r="X201" i="5"/>
  <c r="Y201" i="5" s="1"/>
  <c r="X202" i="5"/>
  <c r="Y202" i="5" s="1"/>
  <c r="X203" i="5"/>
  <c r="Y203" i="5" s="1"/>
  <c r="X204" i="5"/>
  <c r="Y204" i="5" s="1"/>
  <c r="X205" i="5"/>
  <c r="Y205" i="5" s="1"/>
  <c r="X206" i="5"/>
  <c r="Y206" i="5" s="1"/>
  <c r="X207" i="5"/>
  <c r="Y207" i="5" s="1"/>
  <c r="X208" i="5"/>
  <c r="Y208" i="5" s="1"/>
  <c r="X209" i="5"/>
  <c r="Y209" i="5" s="1"/>
  <c r="X210" i="5"/>
  <c r="Y210" i="5" s="1"/>
  <c r="X211" i="5"/>
  <c r="Y211" i="5" s="1"/>
  <c r="X212" i="5"/>
  <c r="Y212" i="5" s="1"/>
  <c r="X213" i="5"/>
  <c r="Y213" i="5" s="1"/>
  <c r="X214" i="5"/>
  <c r="Y214" i="5" s="1"/>
  <c r="X215" i="5"/>
  <c r="Y215" i="5" s="1"/>
  <c r="X216" i="5"/>
  <c r="Y216" i="5" s="1"/>
  <c r="X217" i="5"/>
  <c r="Y217" i="5" s="1"/>
  <c r="X218" i="5"/>
  <c r="Y218" i="5" s="1"/>
  <c r="X219" i="5"/>
  <c r="Y219" i="5" s="1"/>
  <c r="X220" i="5"/>
  <c r="Y220" i="5" s="1"/>
  <c r="X221" i="5"/>
  <c r="Y221" i="5" s="1"/>
  <c r="X222" i="5"/>
  <c r="Y222" i="5" s="1"/>
  <c r="X223" i="5"/>
  <c r="Y223" i="5" s="1"/>
  <c r="X224" i="5"/>
  <c r="Y224" i="5" s="1"/>
  <c r="X225" i="5"/>
  <c r="Y225" i="5" s="1"/>
  <c r="X226" i="5"/>
  <c r="Y226" i="5" s="1"/>
  <c r="X227" i="5"/>
  <c r="Y227" i="5" s="1"/>
  <c r="X228" i="5"/>
  <c r="Y228" i="5" s="1"/>
  <c r="X229" i="5"/>
  <c r="Y229" i="5" s="1"/>
  <c r="X230" i="5"/>
  <c r="Y230" i="5" s="1"/>
  <c r="X231" i="5"/>
  <c r="Y231" i="5" s="1"/>
  <c r="X232" i="5"/>
  <c r="Y232" i="5" s="1"/>
  <c r="X233" i="5"/>
  <c r="Y233" i="5" s="1"/>
  <c r="X234" i="5"/>
  <c r="Y234" i="5" s="1"/>
  <c r="X235" i="5"/>
  <c r="Y235" i="5" s="1"/>
  <c r="X236" i="5"/>
  <c r="Y236" i="5" s="1"/>
  <c r="X237" i="5"/>
  <c r="Y237" i="5" s="1"/>
  <c r="X238" i="5"/>
  <c r="Y238" i="5" s="1"/>
  <c r="X239" i="5"/>
  <c r="Y239" i="5" s="1"/>
  <c r="X240" i="5"/>
  <c r="Y240" i="5" s="1"/>
  <c r="X241" i="5"/>
  <c r="Y241" i="5" s="1"/>
  <c r="X242" i="5"/>
  <c r="Y242" i="5" s="1"/>
  <c r="X243" i="5"/>
  <c r="Y243" i="5" s="1"/>
  <c r="X244" i="5"/>
  <c r="Y244" i="5" s="1"/>
  <c r="X245" i="5"/>
  <c r="Y245" i="5" s="1"/>
  <c r="X246" i="5"/>
  <c r="Y246" i="5" s="1"/>
  <c r="X247" i="5"/>
  <c r="Y247" i="5" s="1"/>
  <c r="X248" i="5"/>
  <c r="Y248" i="5" s="1"/>
  <c r="X249" i="5"/>
  <c r="Y249" i="5" s="1"/>
  <c r="X250" i="5"/>
  <c r="Y250" i="5" s="1"/>
  <c r="X251" i="5"/>
  <c r="Y251" i="5" s="1"/>
  <c r="X252" i="5"/>
  <c r="Y252" i="5" s="1"/>
  <c r="X253" i="5"/>
  <c r="Y253" i="5" s="1"/>
  <c r="X254" i="5"/>
  <c r="Y254" i="5" s="1"/>
  <c r="X255" i="5"/>
  <c r="Y255" i="5" s="1"/>
  <c r="X256" i="5"/>
  <c r="Y256" i="5" s="1"/>
  <c r="X257" i="5"/>
  <c r="Y257" i="5" s="1"/>
  <c r="X258" i="5"/>
  <c r="Y258" i="5" s="1"/>
  <c r="X259" i="5"/>
  <c r="Y259" i="5" s="1"/>
  <c r="X260" i="5"/>
  <c r="Y260" i="5" s="1"/>
  <c r="X261" i="5"/>
  <c r="Y261" i="5" s="1"/>
  <c r="X262" i="5"/>
  <c r="Y262" i="5" s="1"/>
  <c r="X263" i="5"/>
  <c r="Y263" i="5" s="1"/>
  <c r="X264" i="5"/>
  <c r="Y264" i="5" s="1"/>
  <c r="X265" i="5"/>
  <c r="Y265" i="5" s="1"/>
  <c r="X266" i="5"/>
  <c r="Y266" i="5" s="1"/>
  <c r="X267" i="5"/>
  <c r="Y267" i="5" s="1"/>
  <c r="X268" i="5"/>
  <c r="Y268" i="5" s="1"/>
  <c r="X269" i="5"/>
  <c r="Y269" i="5" s="1"/>
  <c r="X270" i="5"/>
  <c r="Y270" i="5" s="1"/>
  <c r="X271" i="5"/>
  <c r="Y271" i="5" s="1"/>
  <c r="X272" i="5"/>
  <c r="Y272" i="5" s="1"/>
  <c r="X273" i="5"/>
  <c r="Y273" i="5" s="1"/>
  <c r="X274" i="5"/>
  <c r="Y274" i="5" s="1"/>
  <c r="X275" i="5"/>
  <c r="Y275" i="5" s="1"/>
  <c r="X276" i="5"/>
  <c r="Y276" i="5" s="1"/>
  <c r="X277" i="5"/>
  <c r="Y277" i="5" s="1"/>
  <c r="X278" i="5"/>
  <c r="Y278" i="5" s="1"/>
  <c r="X279" i="5"/>
  <c r="Y279" i="5" s="1"/>
  <c r="X280" i="5"/>
  <c r="Y280" i="5" s="1"/>
  <c r="X281" i="5"/>
  <c r="Y281" i="5" s="1"/>
  <c r="X282" i="5"/>
  <c r="Y282" i="5" s="1"/>
  <c r="X283" i="5"/>
  <c r="Y283" i="5" s="1"/>
  <c r="X284" i="5"/>
  <c r="Y284" i="5" s="1"/>
  <c r="X285" i="5"/>
  <c r="Y285" i="5" s="1"/>
  <c r="X286" i="5"/>
  <c r="Y286" i="5" s="1"/>
  <c r="X287" i="5"/>
  <c r="Y287" i="5" s="1"/>
  <c r="X288" i="5"/>
  <c r="Y288" i="5" s="1"/>
  <c r="X289" i="5"/>
  <c r="Y289" i="5" s="1"/>
  <c r="X290" i="5"/>
  <c r="Y290" i="5" s="1"/>
  <c r="X291" i="5"/>
  <c r="Y291" i="5" s="1"/>
  <c r="X292" i="5"/>
  <c r="Y292" i="5" s="1"/>
  <c r="X293" i="5"/>
  <c r="Y293" i="5" s="1"/>
  <c r="X294" i="5"/>
  <c r="Y294" i="5" s="1"/>
  <c r="X295" i="5"/>
  <c r="Y295" i="5" s="1"/>
  <c r="X296" i="5"/>
  <c r="Y296" i="5" s="1"/>
  <c r="X297" i="5"/>
  <c r="Y297" i="5" s="1"/>
  <c r="X298" i="5"/>
  <c r="Y298" i="5" s="1"/>
  <c r="X299" i="5"/>
  <c r="Y299" i="5" s="1"/>
  <c r="X300" i="5"/>
  <c r="Y300" i="5" s="1"/>
  <c r="X301" i="5"/>
  <c r="Y301" i="5" s="1"/>
  <c r="X302" i="5"/>
  <c r="Y302" i="5" s="1"/>
  <c r="X303" i="5"/>
  <c r="Y303" i="5" s="1"/>
  <c r="X304" i="5"/>
  <c r="Y304" i="5" s="1"/>
  <c r="X305" i="5"/>
  <c r="Y305" i="5" s="1"/>
  <c r="X306" i="5"/>
  <c r="Y306" i="5" s="1"/>
  <c r="X307" i="5"/>
  <c r="Y307" i="5" s="1"/>
  <c r="X308" i="5"/>
  <c r="Y308" i="5" s="1"/>
  <c r="X309" i="5"/>
  <c r="Y309" i="5" s="1"/>
  <c r="X310" i="5"/>
  <c r="Y310" i="5" s="1"/>
  <c r="X311" i="5"/>
  <c r="Y311" i="5" s="1"/>
  <c r="X312" i="5"/>
  <c r="Y312" i="5" s="1"/>
  <c r="X313" i="5"/>
  <c r="Y313" i="5" s="1"/>
  <c r="X314" i="5"/>
  <c r="Y314" i="5" s="1"/>
  <c r="X315" i="5"/>
  <c r="Y315" i="5" s="1"/>
  <c r="X316" i="5"/>
  <c r="Y316" i="5" s="1"/>
  <c r="X317" i="5"/>
  <c r="Y317" i="5" s="1"/>
  <c r="X318" i="5"/>
  <c r="Y318" i="5" s="1"/>
  <c r="X319" i="5"/>
  <c r="Y319" i="5" s="1"/>
  <c r="X320" i="5"/>
  <c r="Y320" i="5" s="1"/>
  <c r="X321" i="5"/>
  <c r="Y321" i="5" s="1"/>
  <c r="X322" i="5"/>
  <c r="Y322" i="5" s="1"/>
  <c r="X323" i="5"/>
  <c r="Y323" i="5" s="1"/>
  <c r="X324" i="5"/>
  <c r="Y324" i="5" s="1"/>
  <c r="X325" i="5"/>
  <c r="Y325" i="5" s="1"/>
  <c r="X326" i="5"/>
  <c r="Y326" i="5" s="1"/>
  <c r="X327" i="5"/>
  <c r="Y327" i="5" s="1"/>
  <c r="X328" i="5"/>
  <c r="Y328" i="5" s="1"/>
  <c r="X329" i="5"/>
  <c r="Y329" i="5" s="1"/>
  <c r="X330" i="5"/>
  <c r="Y330" i="5" s="1"/>
  <c r="X331" i="5"/>
  <c r="Y331" i="5" s="1"/>
  <c r="X332" i="5"/>
  <c r="Y332" i="5" s="1"/>
  <c r="X333" i="5"/>
  <c r="Y333" i="5" s="1"/>
  <c r="X334" i="5"/>
  <c r="Y334" i="5" s="1"/>
  <c r="X335" i="5"/>
  <c r="Y335" i="5" s="1"/>
  <c r="X336" i="5"/>
  <c r="Y336" i="5" s="1"/>
  <c r="I5" i="3"/>
  <c r="W337" i="5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B18" i="3" s="1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B34" i="3" s="1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B50" i="3" s="1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B66" i="3" s="1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B82" i="3" s="1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B98" i="3" s="1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B114" i="3" s="1"/>
  <c r="A115" i="3"/>
  <c r="A116" i="3"/>
  <c r="A117" i="3"/>
  <c r="A118" i="3"/>
  <c r="B118" i="3" s="1"/>
  <c r="A119" i="3"/>
  <c r="A120" i="3"/>
  <c r="A121" i="3"/>
  <c r="A122" i="3"/>
  <c r="A123" i="3"/>
  <c r="A124" i="3"/>
  <c r="A125" i="3"/>
  <c r="A126" i="3"/>
  <c r="A127" i="3"/>
  <c r="A128" i="3"/>
  <c r="A129" i="3"/>
  <c r="A130" i="3"/>
  <c r="B130" i="3" s="1"/>
  <c r="A131" i="3"/>
  <c r="A132" i="3"/>
  <c r="A133" i="3"/>
  <c r="A134" i="3"/>
  <c r="A135" i="3"/>
  <c r="A136" i="3"/>
  <c r="A137" i="3"/>
  <c r="A138" i="3"/>
  <c r="B138" i="3" s="1"/>
  <c r="A139" i="3"/>
  <c r="A140" i="3"/>
  <c r="A141" i="3"/>
  <c r="A142" i="3"/>
  <c r="A143" i="3"/>
  <c r="A144" i="3"/>
  <c r="A145" i="3"/>
  <c r="A146" i="3"/>
  <c r="B146" i="3" s="1"/>
  <c r="A147" i="3"/>
  <c r="A148" i="3"/>
  <c r="A149" i="3"/>
  <c r="A150" i="3"/>
  <c r="A151" i="3"/>
  <c r="A152" i="3"/>
  <c r="A153" i="3"/>
  <c r="A154" i="3"/>
  <c r="A155" i="3"/>
  <c r="A156" i="3"/>
  <c r="A157" i="3"/>
  <c r="A158" i="3"/>
  <c r="B158" i="3" s="1"/>
  <c r="A159" i="3"/>
  <c r="A160" i="3"/>
  <c r="A161" i="3"/>
  <c r="A162" i="3"/>
  <c r="A163" i="3"/>
  <c r="A164" i="3"/>
  <c r="A165" i="3"/>
  <c r="A166" i="3"/>
  <c r="A167" i="3"/>
  <c r="A168" i="3"/>
  <c r="A169" i="3"/>
  <c r="A170" i="3"/>
  <c r="B170" i="3" s="1"/>
  <c r="A171" i="3"/>
  <c r="A172" i="3"/>
  <c r="A173" i="3"/>
  <c r="A174" i="3"/>
  <c r="A175" i="3"/>
  <c r="A176" i="3"/>
  <c r="A177" i="3"/>
  <c r="A178" i="3"/>
  <c r="B178" i="3" s="1"/>
  <c r="A179" i="3"/>
  <c r="A180" i="3"/>
  <c r="A181" i="3"/>
  <c r="A182" i="3"/>
  <c r="B182" i="3" s="1"/>
  <c r="A183" i="3"/>
  <c r="A184" i="3"/>
  <c r="A185" i="3"/>
  <c r="A186" i="3"/>
  <c r="A187" i="3"/>
  <c r="A188" i="3"/>
  <c r="A189" i="3"/>
  <c r="A190" i="3"/>
  <c r="B190" i="3" s="1"/>
  <c r="A191" i="3"/>
  <c r="A192" i="3"/>
  <c r="A193" i="3"/>
  <c r="A194" i="3"/>
  <c r="B194" i="3" s="1"/>
  <c r="A195" i="3"/>
  <c r="A196" i="3"/>
  <c r="A197" i="3"/>
  <c r="A198" i="3"/>
  <c r="B198" i="3" s="1"/>
  <c r="A199" i="3"/>
  <c r="A200" i="3"/>
  <c r="A201" i="3"/>
  <c r="A202" i="3"/>
  <c r="A203" i="3"/>
  <c r="A204" i="3"/>
  <c r="A205" i="3"/>
  <c r="A206" i="3"/>
  <c r="B206" i="3" s="1"/>
  <c r="A207" i="3"/>
  <c r="A208" i="3"/>
  <c r="A209" i="3"/>
  <c r="A210" i="3"/>
  <c r="A211" i="3"/>
  <c r="A212" i="3"/>
  <c r="A213" i="3"/>
  <c r="A214" i="3"/>
  <c r="B214" i="3" s="1"/>
  <c r="A215" i="3"/>
  <c r="A216" i="3"/>
  <c r="A217" i="3"/>
  <c r="A218" i="3"/>
  <c r="B218" i="3" s="1"/>
  <c r="A219" i="3"/>
  <c r="A220" i="3"/>
  <c r="A221" i="3"/>
  <c r="A222" i="3"/>
  <c r="B222" i="3" s="1"/>
  <c r="A223" i="3"/>
  <c r="A224" i="3"/>
  <c r="A225" i="3"/>
  <c r="A226" i="3"/>
  <c r="B226" i="3" s="1"/>
  <c r="A227" i="3"/>
  <c r="A228" i="3"/>
  <c r="A229" i="3"/>
  <c r="A230" i="3"/>
  <c r="B230" i="3" s="1"/>
  <c r="A231" i="3"/>
  <c r="A232" i="3"/>
  <c r="A233" i="3"/>
  <c r="A234" i="3"/>
  <c r="A235" i="3"/>
  <c r="A236" i="3"/>
  <c r="A237" i="3"/>
  <c r="A238" i="3"/>
  <c r="B238" i="3" s="1"/>
  <c r="A239" i="3"/>
  <c r="A240" i="3"/>
  <c r="A241" i="3"/>
  <c r="A242" i="3"/>
  <c r="B242" i="3" s="1"/>
  <c r="A243" i="3"/>
  <c r="A244" i="3"/>
  <c r="A245" i="3"/>
  <c r="A246" i="3"/>
  <c r="B246" i="3" s="1"/>
  <c r="A247" i="3"/>
  <c r="A248" i="3"/>
  <c r="A249" i="3"/>
  <c r="A250" i="3"/>
  <c r="A251" i="3"/>
  <c r="A252" i="3"/>
  <c r="A253" i="3"/>
  <c r="A254" i="3"/>
  <c r="A255" i="3"/>
  <c r="A256" i="3"/>
  <c r="A257" i="3"/>
  <c r="A258" i="3"/>
  <c r="B258" i="3" s="1"/>
  <c r="A259" i="3"/>
  <c r="A260" i="3"/>
  <c r="A261" i="3"/>
  <c r="A262" i="3"/>
  <c r="B262" i="3" s="1"/>
  <c r="A263" i="3"/>
  <c r="A264" i="3"/>
  <c r="A265" i="3"/>
  <c r="A266" i="3"/>
  <c r="A267" i="3"/>
  <c r="A268" i="3"/>
  <c r="A269" i="3"/>
  <c r="A270" i="3"/>
  <c r="B270" i="3" s="1"/>
  <c r="A271" i="3"/>
  <c r="A272" i="3"/>
  <c r="A273" i="3"/>
  <c r="A274" i="3"/>
  <c r="B274" i="3" s="1"/>
  <c r="A275" i="3"/>
  <c r="A276" i="3"/>
  <c r="A277" i="3"/>
  <c r="A278" i="3"/>
  <c r="B278" i="3" s="1"/>
  <c r="A279" i="3"/>
  <c r="A280" i="3"/>
  <c r="A281" i="3"/>
  <c r="A282" i="3"/>
  <c r="B282" i="3" s="1"/>
  <c r="A283" i="3"/>
  <c r="A284" i="3"/>
  <c r="A285" i="3"/>
  <c r="A286" i="3"/>
  <c r="B286" i="3" s="1"/>
  <c r="A287" i="3"/>
  <c r="A288" i="3"/>
  <c r="A289" i="3"/>
  <c r="A290" i="3"/>
  <c r="A291" i="3"/>
  <c r="A292" i="3"/>
  <c r="A293" i="3"/>
  <c r="A294" i="3"/>
  <c r="B294" i="3" s="1"/>
  <c r="A295" i="3"/>
  <c r="A296" i="3"/>
  <c r="A297" i="3"/>
  <c r="A298" i="3"/>
  <c r="B298" i="3" s="1"/>
  <c r="A299" i="3"/>
  <c r="A300" i="3"/>
  <c r="A301" i="3"/>
  <c r="A302" i="3"/>
  <c r="B302" i="3" s="1"/>
  <c r="A303" i="3"/>
  <c r="A304" i="3"/>
  <c r="A305" i="3"/>
  <c r="A306" i="3"/>
  <c r="A307" i="3"/>
  <c r="A308" i="3"/>
  <c r="A309" i="3"/>
  <c r="A310" i="3"/>
  <c r="A311" i="3"/>
  <c r="A312" i="3"/>
  <c r="A313" i="3"/>
  <c r="A314" i="3"/>
  <c r="B314" i="3" s="1"/>
  <c r="A315" i="3"/>
  <c r="A316" i="3"/>
  <c r="B316" i="3" s="1"/>
  <c r="A317" i="3"/>
  <c r="A318" i="3"/>
  <c r="B318" i="3" s="1"/>
  <c r="A319" i="3"/>
  <c r="A320" i="3"/>
  <c r="A321" i="3"/>
  <c r="B321" i="3" s="1"/>
  <c r="A322" i="3"/>
  <c r="A323" i="3"/>
  <c r="A324" i="3"/>
  <c r="B324" i="3" s="1"/>
  <c r="A325" i="3"/>
  <c r="B325" i="3" s="1"/>
  <c r="A326" i="3"/>
  <c r="B326" i="3" s="1"/>
  <c r="A327" i="3"/>
  <c r="A328" i="3"/>
  <c r="A329" i="3"/>
  <c r="B329" i="3" s="1"/>
  <c r="A330" i="3"/>
  <c r="B330" i="3" s="1"/>
  <c r="A331" i="3"/>
  <c r="A332" i="3"/>
  <c r="B332" i="3" s="1"/>
  <c r="A333" i="3"/>
  <c r="A334" i="3"/>
  <c r="A335" i="3"/>
  <c r="A6" i="3"/>
  <c r="B150" i="3"/>
  <c r="B126" i="3"/>
  <c r="B106" i="3"/>
  <c r="B94" i="3"/>
  <c r="B86" i="3"/>
  <c r="B74" i="3"/>
  <c r="B70" i="3"/>
  <c r="B62" i="3"/>
  <c r="B54" i="3"/>
  <c r="B46" i="3"/>
  <c r="B42" i="3"/>
  <c r="B38" i="3"/>
  <c r="B30" i="3"/>
  <c r="B26" i="3"/>
  <c r="B22" i="3"/>
  <c r="B14" i="3"/>
  <c r="B10" i="3"/>
  <c r="B313" i="3"/>
  <c r="B309" i="3"/>
  <c r="B305" i="3"/>
  <c r="B297" i="3"/>
  <c r="B293" i="3"/>
  <c r="B289" i="3"/>
  <c r="B281" i="3"/>
  <c r="B277" i="3"/>
  <c r="B273" i="3"/>
  <c r="B265" i="3"/>
  <c r="B261" i="3"/>
  <c r="B257" i="3"/>
  <c r="B249" i="3"/>
  <c r="B245" i="3"/>
  <c r="B241" i="3"/>
  <c r="B233" i="3"/>
  <c r="B229" i="3"/>
  <c r="B225" i="3"/>
  <c r="B217" i="3"/>
  <c r="B213" i="3"/>
  <c r="B209" i="3"/>
  <c r="B201" i="3"/>
  <c r="B197" i="3"/>
  <c r="B193" i="3"/>
  <c r="B185" i="3"/>
  <c r="B181" i="3"/>
  <c r="B177" i="3"/>
  <c r="B169" i="3"/>
  <c r="B165" i="3"/>
  <c r="B161" i="3"/>
  <c r="B153" i="3"/>
  <c r="B149" i="3"/>
  <c r="B145" i="3"/>
  <c r="B137" i="3"/>
  <c r="B133" i="3"/>
  <c r="B129" i="3"/>
  <c r="B121" i="3"/>
  <c r="B117" i="3"/>
  <c r="B113" i="3"/>
  <c r="B105" i="3"/>
  <c r="B101" i="3"/>
  <c r="B97" i="3"/>
  <c r="B89" i="3"/>
  <c r="B85" i="3"/>
  <c r="B81" i="3"/>
  <c r="B73" i="3"/>
  <c r="B69" i="3"/>
  <c r="B65" i="3"/>
  <c r="B57" i="3"/>
  <c r="B53" i="3"/>
  <c r="B49" i="3"/>
  <c r="B41" i="3"/>
  <c r="B37" i="3"/>
  <c r="B33" i="3"/>
  <c r="B25" i="3"/>
  <c r="B21" i="3"/>
  <c r="B17" i="3"/>
  <c r="B6" i="3"/>
  <c r="B335" i="3"/>
  <c r="B331" i="3"/>
  <c r="B323" i="3"/>
  <c r="B319" i="3"/>
  <c r="B315" i="3"/>
  <c r="B307" i="3"/>
  <c r="B303" i="3"/>
  <c r="B299" i="3"/>
  <c r="B295" i="3"/>
  <c r="B291" i="3"/>
  <c r="B287" i="3"/>
  <c r="B283" i="3"/>
  <c r="B279" i="3"/>
  <c r="B275" i="3"/>
  <c r="B271" i="3"/>
  <c r="B267" i="3"/>
  <c r="B263" i="3"/>
  <c r="B259" i="3"/>
  <c r="B255" i="3"/>
  <c r="B251" i="3"/>
  <c r="B247" i="3"/>
  <c r="B243" i="3"/>
  <c r="B239" i="3"/>
  <c r="B235" i="3"/>
  <c r="B231" i="3"/>
  <c r="B227" i="3"/>
  <c r="B223" i="3"/>
  <c r="B219" i="3"/>
  <c r="B215" i="3"/>
  <c r="B211" i="3"/>
  <c r="B207" i="3"/>
  <c r="B203" i="3"/>
  <c r="B199" i="3"/>
  <c r="B195" i="3"/>
  <c r="B191" i="3"/>
  <c r="B187" i="3"/>
  <c r="B183" i="3"/>
  <c r="B179" i="3"/>
  <c r="B175" i="3"/>
  <c r="B171" i="3"/>
  <c r="B167" i="3"/>
  <c r="B163" i="3"/>
  <c r="B159" i="3"/>
  <c r="B155" i="3"/>
  <c r="B151" i="3"/>
  <c r="B147" i="3"/>
  <c r="B143" i="3"/>
  <c r="B139" i="3"/>
  <c r="B135" i="3"/>
  <c r="B131" i="3"/>
  <c r="B127" i="3"/>
  <c r="B123" i="3"/>
  <c r="B119" i="3"/>
  <c r="B115" i="3"/>
  <c r="B111" i="3"/>
  <c r="B107" i="3"/>
  <c r="B103" i="3"/>
  <c r="B99" i="3"/>
  <c r="B95" i="3"/>
  <c r="B91" i="3"/>
  <c r="B87" i="3"/>
  <c r="B83" i="3"/>
  <c r="B79" i="3"/>
  <c r="B75" i="3"/>
  <c r="B71" i="3"/>
  <c r="B67" i="3"/>
  <c r="B63" i="3"/>
  <c r="B59" i="3"/>
  <c r="B55" i="3"/>
  <c r="B51" i="3"/>
  <c r="B47" i="3"/>
  <c r="B43" i="3"/>
  <c r="B39" i="3"/>
  <c r="B35" i="3"/>
  <c r="B31" i="3"/>
  <c r="B27" i="3"/>
  <c r="B23" i="3"/>
  <c r="B19" i="3"/>
  <c r="B15" i="3"/>
  <c r="B11" i="3"/>
  <c r="B7" i="3"/>
  <c r="B9" i="3"/>
  <c r="B308" i="3"/>
  <c r="B304" i="3"/>
  <c r="B300" i="3"/>
  <c r="B296" i="3"/>
  <c r="B292" i="3"/>
  <c r="B288" i="3"/>
  <c r="B284" i="3"/>
  <c r="B280" i="3"/>
  <c r="B276" i="3"/>
  <c r="B272" i="3"/>
  <c r="B268" i="3"/>
  <c r="B264" i="3"/>
  <c r="B260" i="3"/>
  <c r="B256" i="3"/>
  <c r="B252" i="3"/>
  <c r="B248" i="3"/>
  <c r="B244" i="3"/>
  <c r="B240" i="3"/>
  <c r="B236" i="3"/>
  <c r="B232" i="3"/>
  <c r="B228" i="3"/>
  <c r="B224" i="3"/>
  <c r="B220" i="3"/>
  <c r="B216" i="3"/>
  <c r="B212" i="3"/>
  <c r="B208" i="3"/>
  <c r="B204" i="3"/>
  <c r="B200" i="3"/>
  <c r="B196" i="3"/>
  <c r="B192" i="3"/>
  <c r="B188" i="3"/>
  <c r="B184" i="3"/>
  <c r="B180" i="3"/>
  <c r="B176" i="3"/>
  <c r="B172" i="3"/>
  <c r="B168" i="3"/>
  <c r="B164" i="3"/>
  <c r="B160" i="3"/>
  <c r="B156" i="3"/>
  <c r="B152" i="3"/>
  <c r="B148" i="3"/>
  <c r="B144" i="3"/>
  <c r="B140" i="3"/>
  <c r="B136" i="3"/>
  <c r="B132" i="3"/>
  <c r="B128" i="3"/>
  <c r="B124" i="3"/>
  <c r="B120" i="3"/>
  <c r="B116" i="3"/>
  <c r="B112" i="3"/>
  <c r="B108" i="3"/>
  <c r="B104" i="3"/>
  <c r="B100" i="3"/>
  <c r="B96" i="3"/>
  <c r="B92" i="3"/>
  <c r="B88" i="3"/>
  <c r="B84" i="3"/>
  <c r="B80" i="3"/>
  <c r="B76" i="3"/>
  <c r="B72" i="3"/>
  <c r="B68" i="3"/>
  <c r="B64" i="3"/>
  <c r="B60" i="3"/>
  <c r="B56" i="3"/>
  <c r="B52" i="3"/>
  <c r="B48" i="3"/>
  <c r="B44" i="3"/>
  <c r="B40" i="3"/>
  <c r="B36" i="3"/>
  <c r="B32" i="3"/>
  <c r="B28" i="3"/>
  <c r="B24" i="3"/>
  <c r="B20" i="3"/>
  <c r="B16" i="3"/>
  <c r="B12" i="3"/>
  <c r="B8" i="3"/>
  <c r="F4" i="5"/>
  <c r="E4" i="5"/>
  <c r="D4" i="5"/>
  <c r="C4" i="5"/>
  <c r="G5" i="5"/>
  <c r="F6" i="5"/>
  <c r="B6" i="5"/>
  <c r="B25" i="5" s="1"/>
  <c r="A8" i="5"/>
  <c r="A9" i="5"/>
  <c r="A10" i="5"/>
  <c r="A11" i="5"/>
  <c r="B11" i="5" s="1"/>
  <c r="A12" i="5"/>
  <c r="B12" i="5" s="1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C30" i="5" s="1"/>
  <c r="J30" i="5" s="1"/>
  <c r="A31" i="5"/>
  <c r="A32" i="5"/>
  <c r="A33" i="5"/>
  <c r="A34" i="5"/>
  <c r="A35" i="5"/>
  <c r="A36" i="5"/>
  <c r="A37" i="5"/>
  <c r="A38" i="5"/>
  <c r="A39" i="5"/>
  <c r="B39" i="5" s="1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B76" i="5" s="1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B115" i="5" s="1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B135" i="5" s="1"/>
  <c r="A136" i="5"/>
  <c r="A137" i="5"/>
  <c r="A138" i="5"/>
  <c r="A139" i="5"/>
  <c r="B139" i="5" s="1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B155" i="5" s="1"/>
  <c r="A156" i="5"/>
  <c r="A157" i="5"/>
  <c r="A158" i="5"/>
  <c r="A159" i="5"/>
  <c r="A160" i="5"/>
  <c r="B160" i="5" s="1"/>
  <c r="A161" i="5"/>
  <c r="A162" i="5"/>
  <c r="A163" i="5"/>
  <c r="A164" i="5"/>
  <c r="A165" i="5"/>
  <c r="A166" i="5"/>
  <c r="A167" i="5"/>
  <c r="B167" i="5" s="1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B179" i="5" s="1"/>
  <c r="A180" i="5"/>
  <c r="A181" i="5"/>
  <c r="A182" i="5"/>
  <c r="A183" i="5"/>
  <c r="A184" i="5"/>
  <c r="A185" i="5"/>
  <c r="A186" i="5"/>
  <c r="A187" i="5"/>
  <c r="B187" i="5" s="1"/>
  <c r="A188" i="5"/>
  <c r="A189" i="5"/>
  <c r="A190" i="5"/>
  <c r="A191" i="5"/>
  <c r="B191" i="5" s="1"/>
  <c r="A192" i="5"/>
  <c r="A193" i="5"/>
  <c r="A194" i="5"/>
  <c r="A195" i="5"/>
  <c r="B195" i="5" s="1"/>
  <c r="A196" i="5"/>
  <c r="A197" i="5"/>
  <c r="A198" i="5"/>
  <c r="A199" i="5"/>
  <c r="A200" i="5"/>
  <c r="A201" i="5"/>
  <c r="A202" i="5"/>
  <c r="A203" i="5"/>
  <c r="B203" i="5" s="1"/>
  <c r="A204" i="5"/>
  <c r="A205" i="5"/>
  <c r="A206" i="5"/>
  <c r="A207" i="5"/>
  <c r="B207" i="5" s="1"/>
  <c r="A208" i="5"/>
  <c r="A209" i="5"/>
  <c r="A210" i="5"/>
  <c r="A211" i="5"/>
  <c r="B211" i="5" s="1"/>
  <c r="A212" i="5"/>
  <c r="A213" i="5"/>
  <c r="A214" i="5"/>
  <c r="A215" i="5"/>
  <c r="B215" i="5" s="1"/>
  <c r="A216" i="5"/>
  <c r="A217" i="5"/>
  <c r="A218" i="5"/>
  <c r="A219" i="5"/>
  <c r="B219" i="5" s="1"/>
  <c r="A220" i="5"/>
  <c r="A221" i="5"/>
  <c r="A222" i="5"/>
  <c r="A223" i="5"/>
  <c r="B223" i="5" s="1"/>
  <c r="A224" i="5"/>
  <c r="A225" i="5"/>
  <c r="A226" i="5"/>
  <c r="A227" i="5"/>
  <c r="B227" i="5" s="1"/>
  <c r="A228" i="5"/>
  <c r="A229" i="5"/>
  <c r="A230" i="5"/>
  <c r="A231" i="5"/>
  <c r="B231" i="5" s="1"/>
  <c r="A232" i="5"/>
  <c r="A233" i="5"/>
  <c r="A234" i="5"/>
  <c r="A235" i="5"/>
  <c r="B235" i="5" s="1"/>
  <c r="A236" i="5"/>
  <c r="A237" i="5"/>
  <c r="A238" i="5"/>
  <c r="A239" i="5"/>
  <c r="B239" i="5" s="1"/>
  <c r="A240" i="5"/>
  <c r="A241" i="5"/>
  <c r="A242" i="5"/>
  <c r="A243" i="5"/>
  <c r="B243" i="5" s="1"/>
  <c r="A244" i="5"/>
  <c r="A245" i="5"/>
  <c r="A246" i="5"/>
  <c r="A247" i="5"/>
  <c r="B247" i="5" s="1"/>
  <c r="A248" i="5"/>
  <c r="A249" i="5"/>
  <c r="A250" i="5"/>
  <c r="A251" i="5"/>
  <c r="B251" i="5" s="1"/>
  <c r="A252" i="5"/>
  <c r="A253" i="5"/>
  <c r="A254" i="5"/>
  <c r="A255" i="5"/>
  <c r="B255" i="5" s="1"/>
  <c r="A256" i="5"/>
  <c r="A257" i="5"/>
  <c r="A258" i="5"/>
  <c r="A259" i="5"/>
  <c r="B259" i="5" s="1"/>
  <c r="A260" i="5"/>
  <c r="A261" i="5"/>
  <c r="A262" i="5"/>
  <c r="A263" i="5"/>
  <c r="B263" i="5" s="1"/>
  <c r="A264" i="5"/>
  <c r="A265" i="5"/>
  <c r="A266" i="5"/>
  <c r="A267" i="5"/>
  <c r="B267" i="5" s="1"/>
  <c r="A268" i="5"/>
  <c r="A269" i="5"/>
  <c r="A270" i="5"/>
  <c r="A271" i="5"/>
  <c r="B271" i="5" s="1"/>
  <c r="A272" i="5"/>
  <c r="A273" i="5"/>
  <c r="A274" i="5"/>
  <c r="A275" i="5"/>
  <c r="B275" i="5" s="1"/>
  <c r="A276" i="5"/>
  <c r="A277" i="5"/>
  <c r="A278" i="5"/>
  <c r="A279" i="5"/>
  <c r="B279" i="5" s="1"/>
  <c r="A280" i="5"/>
  <c r="A281" i="5"/>
  <c r="A282" i="5"/>
  <c r="G282" i="5" s="1"/>
  <c r="A283" i="5"/>
  <c r="B283" i="5" s="1"/>
  <c r="A284" i="5"/>
  <c r="A285" i="5"/>
  <c r="A286" i="5"/>
  <c r="A287" i="5"/>
  <c r="B287" i="5" s="1"/>
  <c r="A288" i="5"/>
  <c r="A289" i="5"/>
  <c r="A290" i="5"/>
  <c r="A291" i="5"/>
  <c r="B291" i="5" s="1"/>
  <c r="A292" i="5"/>
  <c r="A293" i="5"/>
  <c r="A294" i="5"/>
  <c r="A295" i="5"/>
  <c r="B295" i="5" s="1"/>
  <c r="A296" i="5"/>
  <c r="A297" i="5"/>
  <c r="A298" i="5"/>
  <c r="A299" i="5"/>
  <c r="B299" i="5" s="1"/>
  <c r="A300" i="5"/>
  <c r="A301" i="5"/>
  <c r="A302" i="5"/>
  <c r="A303" i="5"/>
  <c r="B303" i="5" s="1"/>
  <c r="A304" i="5"/>
  <c r="A305" i="5"/>
  <c r="A306" i="5"/>
  <c r="A307" i="5"/>
  <c r="B307" i="5" s="1"/>
  <c r="A308" i="5"/>
  <c r="A309" i="5"/>
  <c r="A310" i="5"/>
  <c r="A311" i="5"/>
  <c r="B311" i="5" s="1"/>
  <c r="A312" i="5"/>
  <c r="A313" i="5"/>
  <c r="A314" i="5"/>
  <c r="A315" i="5"/>
  <c r="B315" i="5" s="1"/>
  <c r="A316" i="5"/>
  <c r="A317" i="5"/>
  <c r="A318" i="5"/>
  <c r="A319" i="5"/>
  <c r="B319" i="5" s="1"/>
  <c r="A320" i="5"/>
  <c r="A321" i="5"/>
  <c r="A322" i="5"/>
  <c r="A323" i="5"/>
  <c r="B323" i="5" s="1"/>
  <c r="A324" i="5"/>
  <c r="A325" i="5"/>
  <c r="A326" i="5"/>
  <c r="A327" i="5"/>
  <c r="B327" i="5" s="1"/>
  <c r="A328" i="5"/>
  <c r="A329" i="5"/>
  <c r="A330" i="5"/>
  <c r="A331" i="5"/>
  <c r="B331" i="5" s="1"/>
  <c r="A332" i="5"/>
  <c r="A333" i="5"/>
  <c r="A334" i="5"/>
  <c r="A335" i="5"/>
  <c r="B335" i="5" s="1"/>
  <c r="A336" i="5"/>
  <c r="A7" i="5"/>
  <c r="B4" i="10"/>
  <c r="H4" i="2" s="1"/>
  <c r="G4" i="2"/>
  <c r="G331" i="2" s="1"/>
  <c r="F4" i="2"/>
  <c r="E4" i="2"/>
  <c r="D4" i="2"/>
  <c r="C4" i="2"/>
  <c r="C315" i="2" s="1"/>
  <c r="B4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F42" i="2" s="1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F74" i="2" s="1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F118" i="2" s="1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E138" i="2" s="1"/>
  <c r="A139" i="2"/>
  <c r="A140" i="2"/>
  <c r="A141" i="2"/>
  <c r="A142" i="2"/>
  <c r="A143" i="2"/>
  <c r="A144" i="2"/>
  <c r="A145" i="2"/>
  <c r="A146" i="2"/>
  <c r="A147" i="2"/>
  <c r="A148" i="2"/>
  <c r="A149" i="2"/>
  <c r="A150" i="2"/>
  <c r="F150" i="2" s="1"/>
  <c r="A151" i="2"/>
  <c r="A152" i="2"/>
  <c r="A153" i="2"/>
  <c r="A154" i="2"/>
  <c r="A155" i="2"/>
  <c r="A156" i="2"/>
  <c r="A157" i="2"/>
  <c r="A158" i="2"/>
  <c r="A159" i="2"/>
  <c r="A160" i="2"/>
  <c r="A161" i="2"/>
  <c r="A162" i="2"/>
  <c r="F162" i="2" s="1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F206" i="2" s="1"/>
  <c r="A207" i="2"/>
  <c r="A208" i="2"/>
  <c r="A209" i="2"/>
  <c r="A210" i="2"/>
  <c r="A211" i="2"/>
  <c r="A212" i="2"/>
  <c r="A213" i="2"/>
  <c r="A214" i="2"/>
  <c r="A215" i="2"/>
  <c r="A216" i="2"/>
  <c r="A217" i="2"/>
  <c r="A218" i="2"/>
  <c r="F218" i="2" s="1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6" i="2"/>
  <c r="B4" i="1"/>
  <c r="B261" i="1" s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B174" i="1" s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B234" i="1" s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B282" i="1" s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6" i="1"/>
  <c r="F4" i="1"/>
  <c r="E4" i="1"/>
  <c r="D4" i="1"/>
  <c r="C4" i="1"/>
  <c r="B61" i="5"/>
  <c r="B9" i="5"/>
  <c r="B240" i="5"/>
  <c r="B52" i="5"/>
  <c r="B32" i="5"/>
  <c r="B150" i="5"/>
  <c r="B106" i="5"/>
  <c r="B78" i="5"/>
  <c r="B58" i="5"/>
  <c r="B38" i="5"/>
  <c r="B10" i="5"/>
  <c r="B73" i="5"/>
  <c r="B41" i="5"/>
  <c r="I4" i="2"/>
  <c r="I12" i="2" s="1"/>
  <c r="B173" i="5"/>
  <c r="B157" i="5"/>
  <c r="B141" i="5"/>
  <c r="B117" i="5"/>
  <c r="B93" i="5"/>
  <c r="B199" i="5"/>
  <c r="B194" i="5"/>
  <c r="B181" i="5"/>
  <c r="B156" i="5"/>
  <c r="B124" i="5"/>
  <c r="B89" i="5"/>
  <c r="B330" i="5"/>
  <c r="B326" i="5"/>
  <c r="B322" i="5"/>
  <c r="B314" i="5"/>
  <c r="B310" i="5"/>
  <c r="B306" i="5"/>
  <c r="B298" i="5"/>
  <c r="B290" i="5"/>
  <c r="B286" i="5"/>
  <c r="B278" i="5"/>
  <c r="B274" i="5"/>
  <c r="B270" i="5"/>
  <c r="B262" i="5"/>
  <c r="B258" i="5"/>
  <c r="B254" i="5"/>
  <c r="B246" i="5"/>
  <c r="B242" i="5"/>
  <c r="B238" i="5"/>
  <c r="B226" i="5"/>
  <c r="B222" i="5"/>
  <c r="B218" i="5"/>
  <c r="B210" i="5"/>
  <c r="B206" i="5"/>
  <c r="B202" i="5"/>
  <c r="B188" i="5"/>
  <c r="B180" i="5"/>
  <c r="B168" i="5"/>
  <c r="B136" i="5"/>
  <c r="B120" i="5"/>
  <c r="B104" i="5"/>
  <c r="B183" i="5"/>
  <c r="B151" i="5"/>
  <c r="B147" i="5"/>
  <c r="B143" i="5"/>
  <c r="B131" i="5"/>
  <c r="B127" i="5"/>
  <c r="B119" i="5"/>
  <c r="B111" i="5"/>
  <c r="B95" i="5"/>
  <c r="B91" i="5"/>
  <c r="B333" i="5"/>
  <c r="B301" i="5"/>
  <c r="B221" i="5"/>
  <c r="B201" i="5"/>
  <c r="B192" i="5"/>
  <c r="B185" i="5"/>
  <c r="B177" i="5"/>
  <c r="B164" i="5"/>
  <c r="B132" i="5"/>
  <c r="B99" i="5"/>
  <c r="B178" i="5"/>
  <c r="B174" i="5"/>
  <c r="B170" i="5"/>
  <c r="B162" i="5"/>
  <c r="B158" i="5"/>
  <c r="B154" i="5"/>
  <c r="B146" i="5"/>
  <c r="B142" i="5"/>
  <c r="B138" i="5"/>
  <c r="B130" i="5"/>
  <c r="B126" i="5"/>
  <c r="B328" i="5"/>
  <c r="B324" i="5"/>
  <c r="B320" i="5"/>
  <c r="B316" i="5"/>
  <c r="B312" i="5"/>
  <c r="B308" i="5"/>
  <c r="B300" i="5"/>
  <c r="B296" i="5"/>
  <c r="B292" i="5"/>
  <c r="B284" i="5"/>
  <c r="B280" i="5"/>
  <c r="B276" i="5"/>
  <c r="B268" i="5"/>
  <c r="B264" i="5"/>
  <c r="B260" i="5"/>
  <c r="B256" i="5"/>
  <c r="B252" i="5"/>
  <c r="B248" i="5"/>
  <c r="B244" i="5"/>
  <c r="B236" i="5"/>
  <c r="B232" i="5"/>
  <c r="B228" i="5"/>
  <c r="B220" i="5"/>
  <c r="B216" i="5"/>
  <c r="B212" i="5"/>
  <c r="B204" i="5"/>
  <c r="B200" i="5"/>
  <c r="B196" i="5"/>
  <c r="B190" i="5"/>
  <c r="B184" i="5"/>
  <c r="B128" i="5"/>
  <c r="B112" i="5"/>
  <c r="B320" i="1"/>
  <c r="B276" i="1"/>
  <c r="E335" i="2"/>
  <c r="E331" i="2"/>
  <c r="G323" i="2"/>
  <c r="E323" i="2"/>
  <c r="E315" i="2"/>
  <c r="E307" i="2"/>
  <c r="C307" i="2"/>
  <c r="E299" i="2"/>
  <c r="F295" i="2"/>
  <c r="E291" i="2"/>
  <c r="G287" i="2"/>
  <c r="T287" i="3" s="1"/>
  <c r="G287" i="3" s="1"/>
  <c r="E287" i="2"/>
  <c r="E279" i="2"/>
  <c r="F275" i="2"/>
  <c r="E275" i="2"/>
  <c r="D275" i="2"/>
  <c r="C271" i="2"/>
  <c r="E271" i="2"/>
  <c r="E267" i="2"/>
  <c r="D267" i="2"/>
  <c r="E263" i="2"/>
  <c r="C263" i="2"/>
  <c r="P263" i="3" s="1"/>
  <c r="C263" i="3" s="1"/>
  <c r="E259" i="2"/>
  <c r="D259" i="2"/>
  <c r="E255" i="2"/>
  <c r="D255" i="2"/>
  <c r="Q255" i="3" s="1"/>
  <c r="D255" i="3" s="1"/>
  <c r="E251" i="2"/>
  <c r="D251" i="2"/>
  <c r="E247" i="2"/>
  <c r="G243" i="2"/>
  <c r="F243" i="2"/>
  <c r="E243" i="2"/>
  <c r="G239" i="2"/>
  <c r="E239" i="2"/>
  <c r="E231" i="2"/>
  <c r="D231" i="2"/>
  <c r="E227" i="2"/>
  <c r="E223" i="2"/>
  <c r="C223" i="2"/>
  <c r="P223" i="3" s="1"/>
  <c r="C223" i="3" s="1"/>
  <c r="E219" i="2"/>
  <c r="G215" i="2"/>
  <c r="E215" i="2"/>
  <c r="D215" i="2"/>
  <c r="G211" i="2"/>
  <c r="F211" i="2"/>
  <c r="E211" i="2"/>
  <c r="G207" i="2"/>
  <c r="E207" i="2"/>
  <c r="E203" i="2"/>
  <c r="R203" i="3" s="1"/>
  <c r="E203" i="3" s="1"/>
  <c r="E199" i="2"/>
  <c r="C199" i="2"/>
  <c r="E195" i="2"/>
  <c r="G191" i="2"/>
  <c r="E191" i="2"/>
  <c r="E187" i="2"/>
  <c r="R187" i="3" s="1"/>
  <c r="E187" i="3" s="1"/>
  <c r="B214" i="2"/>
  <c r="E334" i="2"/>
  <c r="E330" i="2"/>
  <c r="C330" i="2"/>
  <c r="P330" i="3" s="1"/>
  <c r="C330" i="3" s="1"/>
  <c r="E326" i="2"/>
  <c r="F326" i="2"/>
  <c r="D326" i="2"/>
  <c r="Q326" i="3" s="1"/>
  <c r="D326" i="3" s="1"/>
  <c r="E322" i="2"/>
  <c r="D322" i="2"/>
  <c r="Q322" i="3" s="1"/>
  <c r="D322" i="3" s="1"/>
  <c r="E318" i="2"/>
  <c r="D318" i="2"/>
  <c r="Q318" i="3" s="1"/>
  <c r="D318" i="3" s="1"/>
  <c r="E314" i="2"/>
  <c r="D314" i="2"/>
  <c r="Q314" i="3" s="1"/>
  <c r="D314" i="3" s="1"/>
  <c r="E310" i="2"/>
  <c r="D310" i="2"/>
  <c r="Q310" i="3" s="1"/>
  <c r="D310" i="3" s="1"/>
  <c r="E306" i="2"/>
  <c r="D306" i="2"/>
  <c r="Q306" i="3" s="1"/>
  <c r="D306" i="3" s="1"/>
  <c r="E302" i="2"/>
  <c r="D302" i="2"/>
  <c r="Q302" i="3" s="1"/>
  <c r="D302" i="3" s="1"/>
  <c r="E298" i="2"/>
  <c r="F298" i="2"/>
  <c r="S298" i="3" s="1"/>
  <c r="F298" i="3" s="1"/>
  <c r="E294" i="2"/>
  <c r="C294" i="2"/>
  <c r="E290" i="2"/>
  <c r="G286" i="2"/>
  <c r="E286" i="2"/>
  <c r="E282" i="2"/>
  <c r="R282" i="3" s="1"/>
  <c r="E282" i="3" s="1"/>
  <c r="E278" i="2"/>
  <c r="C278" i="2"/>
  <c r="E274" i="2"/>
  <c r="G270" i="2"/>
  <c r="E270" i="2"/>
  <c r="E266" i="2"/>
  <c r="R266" i="3" s="1"/>
  <c r="E266" i="3" s="1"/>
  <c r="F266" i="2"/>
  <c r="E262" i="2"/>
  <c r="E258" i="2"/>
  <c r="C258" i="2"/>
  <c r="E254" i="2"/>
  <c r="G250" i="2"/>
  <c r="T250" i="3" s="1"/>
  <c r="G250" i="3" s="1"/>
  <c r="E250" i="2"/>
  <c r="F250" i="2"/>
  <c r="G246" i="2"/>
  <c r="E246" i="2"/>
  <c r="C246" i="2"/>
  <c r="E242" i="2"/>
  <c r="G238" i="2"/>
  <c r="E238" i="2"/>
  <c r="C238" i="2"/>
  <c r="P238" i="3" s="1"/>
  <c r="C238" i="3" s="1"/>
  <c r="E234" i="2"/>
  <c r="F234" i="2"/>
  <c r="D234" i="2"/>
  <c r="Q234" i="3" s="1"/>
  <c r="D234" i="3" s="1"/>
  <c r="G230" i="2"/>
  <c r="E230" i="2"/>
  <c r="D230" i="2"/>
  <c r="Q230" i="3" s="1"/>
  <c r="D230" i="3" s="1"/>
  <c r="G226" i="2"/>
  <c r="F226" i="2"/>
  <c r="E222" i="2"/>
  <c r="R222" i="3" s="1"/>
  <c r="E222" i="3" s="1"/>
  <c r="C218" i="2"/>
  <c r="P218" i="3" s="1"/>
  <c r="C218" i="3" s="1"/>
  <c r="F214" i="2"/>
  <c r="E210" i="2"/>
  <c r="D210" i="2"/>
  <c r="Q210" i="3" s="1"/>
  <c r="D210" i="3" s="1"/>
  <c r="C206" i="2"/>
  <c r="E202" i="2"/>
  <c r="C202" i="2"/>
  <c r="P202" i="3" s="1"/>
  <c r="C202" i="3" s="1"/>
  <c r="F198" i="2"/>
  <c r="D198" i="2"/>
  <c r="E194" i="2"/>
  <c r="R194" i="3" s="1"/>
  <c r="E194" i="3" s="1"/>
  <c r="E190" i="2"/>
  <c r="R190" i="3" s="1"/>
  <c r="E190" i="3" s="1"/>
  <c r="D190" i="2"/>
  <c r="F186" i="2"/>
  <c r="S186" i="3" s="1"/>
  <c r="F186" i="3" s="1"/>
  <c r="D186" i="2"/>
  <c r="Q186" i="3" s="1"/>
  <c r="D186" i="3" s="1"/>
  <c r="E182" i="2"/>
  <c r="R182" i="3" s="1"/>
  <c r="E182" i="3" s="1"/>
  <c r="E178" i="2"/>
  <c r="R178" i="3" s="1"/>
  <c r="E178" i="3" s="1"/>
  <c r="D178" i="2"/>
  <c r="Q178" i="3" s="1"/>
  <c r="D178" i="3" s="1"/>
  <c r="F174" i="2"/>
  <c r="S174" i="3" s="1"/>
  <c r="F174" i="3" s="1"/>
  <c r="C174" i="2"/>
  <c r="P174" i="3" s="1"/>
  <c r="C174" i="3" s="1"/>
  <c r="E170" i="2"/>
  <c r="R170" i="3" s="1"/>
  <c r="E170" i="3" s="1"/>
  <c r="G166" i="2"/>
  <c r="T166" i="3" s="1"/>
  <c r="G166" i="3" s="1"/>
  <c r="E166" i="2"/>
  <c r="R166" i="3" s="1"/>
  <c r="E166" i="3" s="1"/>
  <c r="D166" i="2"/>
  <c r="Q166" i="3" s="1"/>
  <c r="D166" i="3" s="1"/>
  <c r="D162" i="2"/>
  <c r="Q162" i="3" s="1"/>
  <c r="D162" i="3" s="1"/>
  <c r="G158" i="2"/>
  <c r="T158" i="3" s="1"/>
  <c r="G158" i="3" s="1"/>
  <c r="E158" i="2"/>
  <c r="R158" i="3" s="1"/>
  <c r="E158" i="3" s="1"/>
  <c r="G154" i="2"/>
  <c r="T154" i="3" s="1"/>
  <c r="G154" i="3" s="1"/>
  <c r="E154" i="2"/>
  <c r="R154" i="3" s="1"/>
  <c r="E154" i="3" s="1"/>
  <c r="D154" i="2"/>
  <c r="Q154" i="3" s="1"/>
  <c r="D154" i="3" s="1"/>
  <c r="C150" i="2"/>
  <c r="P150" i="3" s="1"/>
  <c r="C150" i="3" s="1"/>
  <c r="F146" i="2"/>
  <c r="S146" i="3" s="1"/>
  <c r="F146" i="3" s="1"/>
  <c r="E146" i="2"/>
  <c r="R146" i="3" s="1"/>
  <c r="E146" i="3" s="1"/>
  <c r="F142" i="2"/>
  <c r="S142" i="3" s="1"/>
  <c r="F142" i="3" s="1"/>
  <c r="D142" i="2"/>
  <c r="Q142" i="3" s="1"/>
  <c r="D142" i="3" s="1"/>
  <c r="F138" i="2"/>
  <c r="S138" i="3" s="1"/>
  <c r="F138" i="3" s="1"/>
  <c r="D138" i="2"/>
  <c r="Q138" i="3" s="1"/>
  <c r="D138" i="3" s="1"/>
  <c r="F134" i="2"/>
  <c r="S134" i="3" s="1"/>
  <c r="F134" i="3" s="1"/>
  <c r="C134" i="2"/>
  <c r="P134" i="3" s="1"/>
  <c r="C134" i="3" s="1"/>
  <c r="E130" i="2"/>
  <c r="R130" i="3" s="1"/>
  <c r="E130" i="3" s="1"/>
  <c r="C130" i="2"/>
  <c r="P130" i="3" s="1"/>
  <c r="C130" i="3" s="1"/>
  <c r="F126" i="2"/>
  <c r="S126" i="3" s="1"/>
  <c r="F126" i="3" s="1"/>
  <c r="G122" i="2"/>
  <c r="T122" i="3" s="1"/>
  <c r="G122" i="3" s="1"/>
  <c r="E122" i="2"/>
  <c r="R122" i="3" s="1"/>
  <c r="E122" i="3" s="1"/>
  <c r="D122" i="2"/>
  <c r="Q122" i="3" s="1"/>
  <c r="D122" i="3" s="1"/>
  <c r="C118" i="2"/>
  <c r="P118" i="3" s="1"/>
  <c r="C118" i="3" s="1"/>
  <c r="G114" i="2"/>
  <c r="T114" i="3" s="1"/>
  <c r="G114" i="3" s="1"/>
  <c r="F110" i="2"/>
  <c r="S110" i="3" s="1"/>
  <c r="F110" i="3" s="1"/>
  <c r="E110" i="2"/>
  <c r="R110" i="3" s="1"/>
  <c r="E110" i="3" s="1"/>
  <c r="C110" i="2"/>
  <c r="P110" i="3" s="1"/>
  <c r="C110" i="3" s="1"/>
  <c r="C106" i="2"/>
  <c r="P106" i="3" s="1"/>
  <c r="C106" i="3" s="1"/>
  <c r="G102" i="2"/>
  <c r="T102" i="3" s="1"/>
  <c r="G102" i="3" s="1"/>
  <c r="E102" i="2"/>
  <c r="R102" i="3" s="1"/>
  <c r="E102" i="3" s="1"/>
  <c r="G98" i="2"/>
  <c r="T98" i="3" s="1"/>
  <c r="G98" i="3" s="1"/>
  <c r="D98" i="2"/>
  <c r="Q98" i="3" s="1"/>
  <c r="D98" i="3" s="1"/>
  <c r="F94" i="2"/>
  <c r="S94" i="3" s="1"/>
  <c r="F94" i="3" s="1"/>
  <c r="C94" i="2"/>
  <c r="P94" i="3" s="1"/>
  <c r="C94" i="3" s="1"/>
  <c r="F90" i="2"/>
  <c r="S90" i="3" s="1"/>
  <c r="F90" i="3" s="1"/>
  <c r="E90" i="2"/>
  <c r="R90" i="3" s="1"/>
  <c r="E90" i="3" s="1"/>
  <c r="F86" i="2"/>
  <c r="S86" i="3" s="1"/>
  <c r="F86" i="3" s="1"/>
  <c r="C86" i="2"/>
  <c r="P86" i="3" s="1"/>
  <c r="C86" i="3" s="1"/>
  <c r="F82" i="2"/>
  <c r="S82" i="3" s="1"/>
  <c r="F82" i="3" s="1"/>
  <c r="C82" i="2"/>
  <c r="P82" i="3" s="1"/>
  <c r="C82" i="3" s="1"/>
  <c r="G78" i="2"/>
  <c r="T78" i="3" s="1"/>
  <c r="G78" i="3" s="1"/>
  <c r="D78" i="2"/>
  <c r="Q78" i="3" s="1"/>
  <c r="D78" i="3" s="1"/>
  <c r="E74" i="2"/>
  <c r="R74" i="3" s="1"/>
  <c r="E74" i="3" s="1"/>
  <c r="D74" i="2"/>
  <c r="Q74" i="3" s="1"/>
  <c r="D74" i="3" s="1"/>
  <c r="F70" i="2"/>
  <c r="S70" i="3" s="1"/>
  <c r="F70" i="3" s="1"/>
  <c r="F66" i="2"/>
  <c r="S66" i="3" s="1"/>
  <c r="F66" i="3" s="1"/>
  <c r="E66" i="2"/>
  <c r="R66" i="3" s="1"/>
  <c r="E66" i="3" s="1"/>
  <c r="C66" i="2"/>
  <c r="P66" i="3" s="1"/>
  <c r="C66" i="3" s="1"/>
  <c r="D62" i="2"/>
  <c r="Q62" i="3" s="1"/>
  <c r="D62" i="3" s="1"/>
  <c r="F58" i="2"/>
  <c r="S58" i="3" s="1"/>
  <c r="F58" i="3" s="1"/>
  <c r="E58" i="2"/>
  <c r="R58" i="3" s="1"/>
  <c r="E58" i="3" s="1"/>
  <c r="F54" i="2"/>
  <c r="S54" i="3" s="1"/>
  <c r="F54" i="3" s="1"/>
  <c r="C54" i="2"/>
  <c r="P54" i="3" s="1"/>
  <c r="C54" i="3" s="1"/>
  <c r="F50" i="2"/>
  <c r="S50" i="3" s="1"/>
  <c r="F50" i="3" s="1"/>
  <c r="C50" i="2"/>
  <c r="P50" i="3" s="1"/>
  <c r="C50" i="3" s="1"/>
  <c r="G46" i="2"/>
  <c r="T46" i="3" s="1"/>
  <c r="G46" i="3" s="1"/>
  <c r="D46" i="2"/>
  <c r="Q46" i="3" s="1"/>
  <c r="D46" i="3" s="1"/>
  <c r="E42" i="2"/>
  <c r="R42" i="3" s="1"/>
  <c r="E42" i="3" s="1"/>
  <c r="D42" i="2"/>
  <c r="Q42" i="3" s="1"/>
  <c r="D42" i="3" s="1"/>
  <c r="F38" i="2"/>
  <c r="S38" i="3" s="1"/>
  <c r="F38" i="3" s="1"/>
  <c r="G34" i="2"/>
  <c r="T34" i="3" s="1"/>
  <c r="G34" i="3" s="1"/>
  <c r="E34" i="2"/>
  <c r="R34" i="3" s="1"/>
  <c r="E34" i="3" s="1"/>
  <c r="B34" i="2"/>
  <c r="E30" i="2"/>
  <c r="R30" i="3" s="1"/>
  <c r="E30" i="3" s="1"/>
  <c r="D30" i="2"/>
  <c r="Q30" i="3" s="1"/>
  <c r="D30" i="3" s="1"/>
  <c r="F26" i="2"/>
  <c r="S26" i="3" s="1"/>
  <c r="F26" i="3" s="1"/>
  <c r="B26" i="2"/>
  <c r="G22" i="2"/>
  <c r="T22" i="3" s="1"/>
  <c r="G22" i="3" s="1"/>
  <c r="E22" i="2"/>
  <c r="R22" i="3" s="1"/>
  <c r="E22" i="3" s="1"/>
  <c r="G18" i="2"/>
  <c r="T18" i="3" s="1"/>
  <c r="G18" i="3" s="1"/>
  <c r="E18" i="2"/>
  <c r="R18" i="3" s="1"/>
  <c r="E18" i="3" s="1"/>
  <c r="B18" i="2"/>
  <c r="F14" i="2"/>
  <c r="S14" i="3" s="1"/>
  <c r="F14" i="3" s="1"/>
  <c r="B14" i="2"/>
  <c r="C14" i="2"/>
  <c r="P14" i="3" s="1"/>
  <c r="C14" i="3" s="1"/>
  <c r="D10" i="2"/>
  <c r="Q10" i="3" s="1"/>
  <c r="D10" i="3" s="1"/>
  <c r="B10" i="2"/>
  <c r="B330" i="2"/>
  <c r="B282" i="2"/>
  <c r="B266" i="2"/>
  <c r="B250" i="2"/>
  <c r="B218" i="2"/>
  <c r="B202" i="2"/>
  <c r="B186" i="2"/>
  <c r="B154" i="2"/>
  <c r="B138" i="2"/>
  <c r="B122" i="2"/>
  <c r="B90" i="2"/>
  <c r="B74" i="2"/>
  <c r="B58" i="2"/>
  <c r="B15" i="2"/>
  <c r="G333" i="2"/>
  <c r="T333" i="3" s="1"/>
  <c r="G333" i="3" s="1"/>
  <c r="F333" i="2"/>
  <c r="S333" i="3" s="1"/>
  <c r="F333" i="3" s="1"/>
  <c r="E333" i="2"/>
  <c r="R333" i="3" s="1"/>
  <c r="E333" i="3" s="1"/>
  <c r="D333" i="2"/>
  <c r="Q333" i="3" s="1"/>
  <c r="D333" i="3" s="1"/>
  <c r="C333" i="2"/>
  <c r="P333" i="3" s="1"/>
  <c r="C333" i="3" s="1"/>
  <c r="B333" i="2"/>
  <c r="G329" i="2"/>
  <c r="T329" i="3" s="1"/>
  <c r="G329" i="3" s="1"/>
  <c r="F329" i="2"/>
  <c r="S329" i="3" s="1"/>
  <c r="F329" i="3" s="1"/>
  <c r="D329" i="2"/>
  <c r="Q329" i="3" s="1"/>
  <c r="D329" i="3" s="1"/>
  <c r="E329" i="2"/>
  <c r="R329" i="3" s="1"/>
  <c r="E329" i="3" s="1"/>
  <c r="C329" i="2"/>
  <c r="P329" i="3" s="1"/>
  <c r="C329" i="3" s="1"/>
  <c r="B329" i="2"/>
  <c r="G325" i="2"/>
  <c r="T325" i="3" s="1"/>
  <c r="G325" i="3" s="1"/>
  <c r="D325" i="2"/>
  <c r="Q325" i="3" s="1"/>
  <c r="D325" i="3" s="1"/>
  <c r="E325" i="2"/>
  <c r="R325" i="3" s="1"/>
  <c r="E325" i="3" s="1"/>
  <c r="C325" i="2"/>
  <c r="P325" i="3" s="1"/>
  <c r="C325" i="3" s="1"/>
  <c r="G321" i="2"/>
  <c r="T321" i="3" s="1"/>
  <c r="G321" i="3" s="1"/>
  <c r="F321" i="2"/>
  <c r="S321" i="3" s="1"/>
  <c r="F321" i="3" s="1"/>
  <c r="D321" i="2"/>
  <c r="Q321" i="3" s="1"/>
  <c r="D321" i="3" s="1"/>
  <c r="E321" i="2"/>
  <c r="R321" i="3" s="1"/>
  <c r="E321" i="3" s="1"/>
  <c r="C321" i="2"/>
  <c r="P321" i="3" s="1"/>
  <c r="C321" i="3" s="1"/>
  <c r="B321" i="2"/>
  <c r="G317" i="2"/>
  <c r="T317" i="3" s="1"/>
  <c r="G317" i="3" s="1"/>
  <c r="F317" i="2"/>
  <c r="S317" i="3" s="1"/>
  <c r="F317" i="3" s="1"/>
  <c r="E317" i="2"/>
  <c r="R317" i="3" s="1"/>
  <c r="E317" i="3" s="1"/>
  <c r="D317" i="2"/>
  <c r="Q317" i="3" s="1"/>
  <c r="D317" i="3" s="1"/>
  <c r="C317" i="2"/>
  <c r="P317" i="3" s="1"/>
  <c r="C317" i="3" s="1"/>
  <c r="B317" i="2"/>
  <c r="G313" i="2"/>
  <c r="T313" i="3" s="1"/>
  <c r="G313" i="3" s="1"/>
  <c r="F313" i="2"/>
  <c r="S313" i="3" s="1"/>
  <c r="F313" i="3" s="1"/>
  <c r="D313" i="2"/>
  <c r="Q313" i="3" s="1"/>
  <c r="D313" i="3" s="1"/>
  <c r="C313" i="2"/>
  <c r="P313" i="3" s="1"/>
  <c r="C313" i="3" s="1"/>
  <c r="E313" i="2"/>
  <c r="R313" i="3" s="1"/>
  <c r="E313" i="3" s="1"/>
  <c r="B313" i="2"/>
  <c r="G309" i="2"/>
  <c r="T309" i="3" s="1"/>
  <c r="G309" i="3" s="1"/>
  <c r="F309" i="2"/>
  <c r="S309" i="3" s="1"/>
  <c r="F309" i="3" s="1"/>
  <c r="D309" i="2"/>
  <c r="Q309" i="3" s="1"/>
  <c r="D309" i="3" s="1"/>
  <c r="E309" i="2"/>
  <c r="R309" i="3" s="1"/>
  <c r="E309" i="3" s="1"/>
  <c r="C309" i="2"/>
  <c r="P309" i="3" s="1"/>
  <c r="C309" i="3" s="1"/>
  <c r="B309" i="2"/>
  <c r="G305" i="2"/>
  <c r="T305" i="3" s="1"/>
  <c r="G305" i="3" s="1"/>
  <c r="F305" i="2"/>
  <c r="S305" i="3" s="1"/>
  <c r="F305" i="3" s="1"/>
  <c r="D305" i="2"/>
  <c r="Q305" i="3" s="1"/>
  <c r="D305" i="3" s="1"/>
  <c r="C305" i="2"/>
  <c r="P305" i="3" s="1"/>
  <c r="C305" i="3" s="1"/>
  <c r="E305" i="2"/>
  <c r="R305" i="3" s="1"/>
  <c r="E305" i="3" s="1"/>
  <c r="B305" i="2"/>
  <c r="G301" i="2"/>
  <c r="T301" i="3" s="1"/>
  <c r="G301" i="3" s="1"/>
  <c r="F301" i="2"/>
  <c r="S301" i="3" s="1"/>
  <c r="F301" i="3" s="1"/>
  <c r="E301" i="2"/>
  <c r="R301" i="3" s="1"/>
  <c r="E301" i="3" s="1"/>
  <c r="D301" i="2"/>
  <c r="Q301" i="3" s="1"/>
  <c r="D301" i="3" s="1"/>
  <c r="C301" i="2"/>
  <c r="P301" i="3" s="1"/>
  <c r="C301" i="3" s="1"/>
  <c r="B301" i="2"/>
  <c r="G297" i="2"/>
  <c r="T297" i="3" s="1"/>
  <c r="G297" i="3" s="1"/>
  <c r="F297" i="2"/>
  <c r="S297" i="3" s="1"/>
  <c r="F297" i="3" s="1"/>
  <c r="D297" i="2"/>
  <c r="Q297" i="3" s="1"/>
  <c r="D297" i="3" s="1"/>
  <c r="E297" i="2"/>
  <c r="R297" i="3" s="1"/>
  <c r="E297" i="3" s="1"/>
  <c r="C297" i="2"/>
  <c r="P297" i="3" s="1"/>
  <c r="C297" i="3" s="1"/>
  <c r="B297" i="2"/>
  <c r="G293" i="2"/>
  <c r="T293" i="3" s="1"/>
  <c r="G293" i="3" s="1"/>
  <c r="F293" i="2"/>
  <c r="S293" i="3" s="1"/>
  <c r="F293" i="3" s="1"/>
  <c r="D293" i="2"/>
  <c r="Q293" i="3" s="1"/>
  <c r="D293" i="3" s="1"/>
  <c r="E293" i="2"/>
  <c r="R293" i="3" s="1"/>
  <c r="E293" i="3" s="1"/>
  <c r="C293" i="2"/>
  <c r="P293" i="3" s="1"/>
  <c r="C293" i="3" s="1"/>
  <c r="B293" i="2"/>
  <c r="G289" i="2"/>
  <c r="T289" i="3" s="1"/>
  <c r="G289" i="3" s="1"/>
  <c r="E289" i="2"/>
  <c r="R289" i="3" s="1"/>
  <c r="E289" i="3" s="1"/>
  <c r="D289" i="2"/>
  <c r="Q289" i="3" s="1"/>
  <c r="D289" i="3" s="1"/>
  <c r="C289" i="2"/>
  <c r="P289" i="3" s="1"/>
  <c r="C289" i="3" s="1"/>
  <c r="G285" i="2"/>
  <c r="T285" i="3" s="1"/>
  <c r="G285" i="3" s="1"/>
  <c r="E285" i="2"/>
  <c r="R285" i="3" s="1"/>
  <c r="E285" i="3" s="1"/>
  <c r="D285" i="2"/>
  <c r="Q285" i="3" s="1"/>
  <c r="D285" i="3" s="1"/>
  <c r="C285" i="2"/>
  <c r="P285" i="3" s="1"/>
  <c r="C285" i="3" s="1"/>
  <c r="G281" i="2"/>
  <c r="T281" i="3" s="1"/>
  <c r="G281" i="3" s="1"/>
  <c r="D281" i="2"/>
  <c r="Q281" i="3" s="1"/>
  <c r="D281" i="3" s="1"/>
  <c r="C281" i="2"/>
  <c r="P281" i="3" s="1"/>
  <c r="C281" i="3" s="1"/>
  <c r="E281" i="2"/>
  <c r="R281" i="3" s="1"/>
  <c r="E281" i="3" s="1"/>
  <c r="G277" i="2"/>
  <c r="T277" i="3" s="1"/>
  <c r="G277" i="3" s="1"/>
  <c r="D277" i="2"/>
  <c r="Q277" i="3" s="1"/>
  <c r="D277" i="3" s="1"/>
  <c r="E277" i="2"/>
  <c r="R277" i="3" s="1"/>
  <c r="E277" i="3" s="1"/>
  <c r="C277" i="2"/>
  <c r="P277" i="3" s="1"/>
  <c r="C277" i="3" s="1"/>
  <c r="G273" i="2"/>
  <c r="T273" i="3" s="1"/>
  <c r="G273" i="3" s="1"/>
  <c r="E273" i="2"/>
  <c r="R273" i="3" s="1"/>
  <c r="E273" i="3" s="1"/>
  <c r="D273" i="2"/>
  <c r="Q273" i="3" s="1"/>
  <c r="D273" i="3" s="1"/>
  <c r="C273" i="2"/>
  <c r="P273" i="3" s="1"/>
  <c r="C273" i="3" s="1"/>
  <c r="G269" i="2"/>
  <c r="T269" i="3" s="1"/>
  <c r="G269" i="3" s="1"/>
  <c r="E269" i="2"/>
  <c r="R269" i="3" s="1"/>
  <c r="E269" i="3" s="1"/>
  <c r="D269" i="2"/>
  <c r="Q269" i="3" s="1"/>
  <c r="D269" i="3" s="1"/>
  <c r="C269" i="2"/>
  <c r="P269" i="3" s="1"/>
  <c r="C269" i="3" s="1"/>
  <c r="G265" i="2"/>
  <c r="T265" i="3" s="1"/>
  <c r="G265" i="3" s="1"/>
  <c r="D265" i="2"/>
  <c r="Q265" i="3" s="1"/>
  <c r="D265" i="3" s="1"/>
  <c r="E265" i="2"/>
  <c r="R265" i="3" s="1"/>
  <c r="E265" i="3" s="1"/>
  <c r="C265" i="2"/>
  <c r="P265" i="3" s="1"/>
  <c r="C265" i="3" s="1"/>
  <c r="G261" i="2"/>
  <c r="T261" i="3" s="1"/>
  <c r="G261" i="3" s="1"/>
  <c r="F261" i="2"/>
  <c r="S261" i="3" s="1"/>
  <c r="F261" i="3" s="1"/>
  <c r="D261" i="2"/>
  <c r="Q261" i="3" s="1"/>
  <c r="D261" i="3" s="1"/>
  <c r="E261" i="2"/>
  <c r="R261" i="3" s="1"/>
  <c r="E261" i="3" s="1"/>
  <c r="C261" i="2"/>
  <c r="P261" i="3" s="1"/>
  <c r="C261" i="3" s="1"/>
  <c r="B261" i="2"/>
  <c r="G253" i="2"/>
  <c r="T253" i="3" s="1"/>
  <c r="G253" i="3" s="1"/>
  <c r="D249" i="2"/>
  <c r="Q249" i="3" s="1"/>
  <c r="D249" i="3" s="1"/>
  <c r="G245" i="2"/>
  <c r="T245" i="3" s="1"/>
  <c r="G245" i="3" s="1"/>
  <c r="D245" i="2"/>
  <c r="Q245" i="3" s="1"/>
  <c r="D245" i="3" s="1"/>
  <c r="E245" i="2"/>
  <c r="R245" i="3" s="1"/>
  <c r="E245" i="3" s="1"/>
  <c r="C245" i="2"/>
  <c r="P245" i="3" s="1"/>
  <c r="C245" i="3" s="1"/>
  <c r="G241" i="2"/>
  <c r="T241" i="3" s="1"/>
  <c r="G241" i="3" s="1"/>
  <c r="E241" i="2"/>
  <c r="R241" i="3" s="1"/>
  <c r="E241" i="3" s="1"/>
  <c r="D241" i="2"/>
  <c r="Q241" i="3" s="1"/>
  <c r="D241" i="3" s="1"/>
  <c r="C241" i="2"/>
  <c r="P241" i="3" s="1"/>
  <c r="C241" i="3" s="1"/>
  <c r="G237" i="2"/>
  <c r="T237" i="3" s="1"/>
  <c r="G237" i="3" s="1"/>
  <c r="E237" i="2"/>
  <c r="R237" i="3" s="1"/>
  <c r="E237" i="3" s="1"/>
  <c r="D237" i="2"/>
  <c r="Q237" i="3" s="1"/>
  <c r="D237" i="3" s="1"/>
  <c r="C237" i="2"/>
  <c r="P237" i="3" s="1"/>
  <c r="C237" i="3" s="1"/>
  <c r="G233" i="2"/>
  <c r="T233" i="3" s="1"/>
  <c r="G233" i="3" s="1"/>
  <c r="D233" i="2"/>
  <c r="Q233" i="3" s="1"/>
  <c r="D233" i="3" s="1"/>
  <c r="C233" i="2"/>
  <c r="P233" i="3" s="1"/>
  <c r="C233" i="3" s="1"/>
  <c r="E233" i="2"/>
  <c r="R233" i="3" s="1"/>
  <c r="E233" i="3" s="1"/>
  <c r="G229" i="2"/>
  <c r="T229" i="3" s="1"/>
  <c r="G229" i="3" s="1"/>
  <c r="E229" i="2"/>
  <c r="R229" i="3" s="1"/>
  <c r="E229" i="3" s="1"/>
  <c r="F229" i="2"/>
  <c r="S229" i="3" s="1"/>
  <c r="F229" i="3" s="1"/>
  <c r="D229" i="2"/>
  <c r="Q229" i="3" s="1"/>
  <c r="D229" i="3" s="1"/>
  <c r="C229" i="2"/>
  <c r="P229" i="3" s="1"/>
  <c r="C229" i="3" s="1"/>
  <c r="G225" i="2"/>
  <c r="T225" i="3" s="1"/>
  <c r="G225" i="3" s="1"/>
  <c r="F225" i="2"/>
  <c r="S225" i="3" s="1"/>
  <c r="F225" i="3" s="1"/>
  <c r="E225" i="2"/>
  <c r="R225" i="3" s="1"/>
  <c r="E225" i="3" s="1"/>
  <c r="D225" i="2"/>
  <c r="Q225" i="3" s="1"/>
  <c r="D225" i="3" s="1"/>
  <c r="C225" i="2"/>
  <c r="P225" i="3" s="1"/>
  <c r="C225" i="3" s="1"/>
  <c r="B225" i="2"/>
  <c r="G221" i="2"/>
  <c r="T221" i="3" s="1"/>
  <c r="G221" i="3" s="1"/>
  <c r="F221" i="2"/>
  <c r="S221" i="3" s="1"/>
  <c r="F221" i="3" s="1"/>
  <c r="E221" i="2"/>
  <c r="R221" i="3" s="1"/>
  <c r="E221" i="3" s="1"/>
  <c r="D221" i="2"/>
  <c r="Q221" i="3" s="1"/>
  <c r="D221" i="3" s="1"/>
  <c r="C221" i="2"/>
  <c r="P221" i="3" s="1"/>
  <c r="C221" i="3" s="1"/>
  <c r="B221" i="2"/>
  <c r="G217" i="2"/>
  <c r="T217" i="3" s="1"/>
  <c r="G217" i="3" s="1"/>
  <c r="E217" i="2"/>
  <c r="R217" i="3" s="1"/>
  <c r="E217" i="3" s="1"/>
  <c r="D217" i="2"/>
  <c r="Q217" i="3" s="1"/>
  <c r="D217" i="3" s="1"/>
  <c r="C217" i="2"/>
  <c r="P217" i="3" s="1"/>
  <c r="C217" i="3" s="1"/>
  <c r="B217" i="2"/>
  <c r="G213" i="2"/>
  <c r="T213" i="3" s="1"/>
  <c r="G213" i="3" s="1"/>
  <c r="E213" i="2"/>
  <c r="R213" i="3" s="1"/>
  <c r="E213" i="3" s="1"/>
  <c r="D213" i="2"/>
  <c r="Q213" i="3" s="1"/>
  <c r="D213" i="3" s="1"/>
  <c r="C213" i="2"/>
  <c r="P213" i="3" s="1"/>
  <c r="C213" i="3" s="1"/>
  <c r="B213" i="2"/>
  <c r="G209" i="2"/>
  <c r="T209" i="3" s="1"/>
  <c r="G209" i="3" s="1"/>
  <c r="F209" i="2"/>
  <c r="S209" i="3" s="1"/>
  <c r="F209" i="3" s="1"/>
  <c r="E209" i="2"/>
  <c r="R209" i="3" s="1"/>
  <c r="E209" i="3" s="1"/>
  <c r="D209" i="2"/>
  <c r="Q209" i="3" s="1"/>
  <c r="D209" i="3" s="1"/>
  <c r="C209" i="2"/>
  <c r="P209" i="3" s="1"/>
  <c r="C209" i="3" s="1"/>
  <c r="B209" i="2"/>
  <c r="G205" i="2"/>
  <c r="T205" i="3" s="1"/>
  <c r="G205" i="3" s="1"/>
  <c r="F205" i="2"/>
  <c r="S205" i="3" s="1"/>
  <c r="F205" i="3" s="1"/>
  <c r="E205" i="2"/>
  <c r="R205" i="3" s="1"/>
  <c r="E205" i="3" s="1"/>
  <c r="D205" i="2"/>
  <c r="Q205" i="3" s="1"/>
  <c r="D205" i="3" s="1"/>
  <c r="C205" i="2"/>
  <c r="P205" i="3" s="1"/>
  <c r="C205" i="3" s="1"/>
  <c r="B205" i="2"/>
  <c r="G201" i="2"/>
  <c r="T201" i="3" s="1"/>
  <c r="G201" i="3" s="1"/>
  <c r="E201" i="2"/>
  <c r="R201" i="3" s="1"/>
  <c r="E201" i="3" s="1"/>
  <c r="D201" i="2"/>
  <c r="Q201" i="3" s="1"/>
  <c r="D201" i="3" s="1"/>
  <c r="C201" i="2"/>
  <c r="P201" i="3" s="1"/>
  <c r="C201" i="3" s="1"/>
  <c r="B201" i="2"/>
  <c r="G197" i="2"/>
  <c r="T197" i="3" s="1"/>
  <c r="G197" i="3" s="1"/>
  <c r="E197" i="2"/>
  <c r="R197" i="3" s="1"/>
  <c r="E197" i="3" s="1"/>
  <c r="F197" i="2"/>
  <c r="S197" i="3" s="1"/>
  <c r="F197" i="3" s="1"/>
  <c r="D197" i="2"/>
  <c r="Q197" i="3" s="1"/>
  <c r="D197" i="3" s="1"/>
  <c r="C197" i="2"/>
  <c r="P197" i="3" s="1"/>
  <c r="C197" i="3" s="1"/>
  <c r="B197" i="2"/>
  <c r="G193" i="2"/>
  <c r="T193" i="3" s="1"/>
  <c r="G193" i="3" s="1"/>
  <c r="F193" i="2"/>
  <c r="S193" i="3" s="1"/>
  <c r="F193" i="3" s="1"/>
  <c r="E193" i="2"/>
  <c r="R193" i="3" s="1"/>
  <c r="E193" i="3" s="1"/>
  <c r="D193" i="2"/>
  <c r="Q193" i="3" s="1"/>
  <c r="D193" i="3" s="1"/>
  <c r="C193" i="2"/>
  <c r="P193" i="3" s="1"/>
  <c r="C193" i="3" s="1"/>
  <c r="B193" i="2"/>
  <c r="G189" i="2"/>
  <c r="T189" i="3" s="1"/>
  <c r="G189" i="3" s="1"/>
  <c r="F189" i="2"/>
  <c r="S189" i="3" s="1"/>
  <c r="F189" i="3" s="1"/>
  <c r="E189" i="2"/>
  <c r="R189" i="3" s="1"/>
  <c r="E189" i="3" s="1"/>
  <c r="D189" i="2"/>
  <c r="Q189" i="3" s="1"/>
  <c r="D189" i="3" s="1"/>
  <c r="C189" i="2"/>
  <c r="P189" i="3" s="1"/>
  <c r="C189" i="3" s="1"/>
  <c r="B189" i="2"/>
  <c r="G185" i="2"/>
  <c r="T185" i="3" s="1"/>
  <c r="G185" i="3" s="1"/>
  <c r="E185" i="2"/>
  <c r="R185" i="3" s="1"/>
  <c r="E185" i="3" s="1"/>
  <c r="F185" i="2"/>
  <c r="S185" i="3" s="1"/>
  <c r="F185" i="3" s="1"/>
  <c r="D185" i="2"/>
  <c r="Q185" i="3" s="1"/>
  <c r="D185" i="3" s="1"/>
  <c r="C185" i="2"/>
  <c r="P185" i="3" s="1"/>
  <c r="C185" i="3" s="1"/>
  <c r="B185" i="2"/>
  <c r="G181" i="2"/>
  <c r="T181" i="3" s="1"/>
  <c r="G181" i="3" s="1"/>
  <c r="E181" i="2"/>
  <c r="R181" i="3" s="1"/>
  <c r="E181" i="3" s="1"/>
  <c r="D181" i="2"/>
  <c r="Q181" i="3" s="1"/>
  <c r="D181" i="3" s="1"/>
  <c r="C181" i="2"/>
  <c r="P181" i="3" s="1"/>
  <c r="C181" i="3" s="1"/>
  <c r="B181" i="2"/>
  <c r="G177" i="2"/>
  <c r="T177" i="3" s="1"/>
  <c r="G177" i="3" s="1"/>
  <c r="F177" i="2"/>
  <c r="S177" i="3" s="1"/>
  <c r="F177" i="3" s="1"/>
  <c r="E177" i="2"/>
  <c r="R177" i="3" s="1"/>
  <c r="E177" i="3" s="1"/>
  <c r="D177" i="2"/>
  <c r="Q177" i="3" s="1"/>
  <c r="D177" i="3" s="1"/>
  <c r="C177" i="2"/>
  <c r="P177" i="3" s="1"/>
  <c r="C177" i="3" s="1"/>
  <c r="B177" i="2"/>
  <c r="G173" i="2"/>
  <c r="T173" i="3" s="1"/>
  <c r="G173" i="3" s="1"/>
  <c r="F173" i="2"/>
  <c r="S173" i="3" s="1"/>
  <c r="F173" i="3" s="1"/>
  <c r="E173" i="2"/>
  <c r="R173" i="3" s="1"/>
  <c r="E173" i="3" s="1"/>
  <c r="D173" i="2"/>
  <c r="Q173" i="3" s="1"/>
  <c r="D173" i="3" s="1"/>
  <c r="C173" i="2"/>
  <c r="P173" i="3" s="1"/>
  <c r="C173" i="3" s="1"/>
  <c r="B173" i="2"/>
  <c r="G169" i="2"/>
  <c r="T169" i="3" s="1"/>
  <c r="G169" i="3" s="1"/>
  <c r="E169" i="2"/>
  <c r="R169" i="3" s="1"/>
  <c r="E169" i="3" s="1"/>
  <c r="F169" i="2"/>
  <c r="S169" i="3" s="1"/>
  <c r="F169" i="3" s="1"/>
  <c r="D169" i="2"/>
  <c r="Q169" i="3" s="1"/>
  <c r="D169" i="3" s="1"/>
  <c r="C169" i="2"/>
  <c r="P169" i="3" s="1"/>
  <c r="C169" i="3" s="1"/>
  <c r="B169" i="2"/>
  <c r="G165" i="2"/>
  <c r="T165" i="3" s="1"/>
  <c r="G165" i="3" s="1"/>
  <c r="F165" i="2"/>
  <c r="S165" i="3" s="1"/>
  <c r="F165" i="3" s="1"/>
  <c r="E165" i="2"/>
  <c r="R165" i="3" s="1"/>
  <c r="E165" i="3" s="1"/>
  <c r="D165" i="2"/>
  <c r="Q165" i="3" s="1"/>
  <c r="D165" i="3" s="1"/>
  <c r="C165" i="2"/>
  <c r="P165" i="3" s="1"/>
  <c r="C165" i="3" s="1"/>
  <c r="B165" i="2"/>
  <c r="G161" i="2"/>
  <c r="T161" i="3" s="1"/>
  <c r="G161" i="3" s="1"/>
  <c r="F161" i="2"/>
  <c r="S161" i="3" s="1"/>
  <c r="F161" i="3" s="1"/>
  <c r="E161" i="2"/>
  <c r="R161" i="3" s="1"/>
  <c r="E161" i="3" s="1"/>
  <c r="D161" i="2"/>
  <c r="Q161" i="3" s="1"/>
  <c r="D161" i="3" s="1"/>
  <c r="C161" i="2"/>
  <c r="P161" i="3" s="1"/>
  <c r="C161" i="3" s="1"/>
  <c r="B161" i="2"/>
  <c r="G157" i="2"/>
  <c r="T157" i="3" s="1"/>
  <c r="G157" i="3" s="1"/>
  <c r="E157" i="2"/>
  <c r="R157" i="3" s="1"/>
  <c r="E157" i="3" s="1"/>
  <c r="D157" i="2"/>
  <c r="Q157" i="3" s="1"/>
  <c r="D157" i="3" s="1"/>
  <c r="C157" i="2"/>
  <c r="P157" i="3" s="1"/>
  <c r="C157" i="3" s="1"/>
  <c r="G153" i="2"/>
  <c r="T153" i="3" s="1"/>
  <c r="G153" i="3" s="1"/>
  <c r="E153" i="2"/>
  <c r="R153" i="3" s="1"/>
  <c r="E153" i="3" s="1"/>
  <c r="F153" i="2"/>
  <c r="S153" i="3" s="1"/>
  <c r="F153" i="3" s="1"/>
  <c r="D153" i="2"/>
  <c r="Q153" i="3" s="1"/>
  <c r="D153" i="3" s="1"/>
  <c r="C153" i="2"/>
  <c r="P153" i="3" s="1"/>
  <c r="C153" i="3" s="1"/>
  <c r="B153" i="2"/>
  <c r="G149" i="2"/>
  <c r="T149" i="3" s="1"/>
  <c r="G149" i="3" s="1"/>
  <c r="E149" i="2"/>
  <c r="R149" i="3" s="1"/>
  <c r="E149" i="3" s="1"/>
  <c r="D149" i="2"/>
  <c r="Q149" i="3" s="1"/>
  <c r="D149" i="3" s="1"/>
  <c r="C149" i="2"/>
  <c r="P149" i="3" s="1"/>
  <c r="C149" i="3" s="1"/>
  <c r="G145" i="2"/>
  <c r="T145" i="3" s="1"/>
  <c r="G145" i="3" s="1"/>
  <c r="F145" i="2"/>
  <c r="S145" i="3" s="1"/>
  <c r="F145" i="3" s="1"/>
  <c r="E145" i="2"/>
  <c r="R145" i="3" s="1"/>
  <c r="E145" i="3" s="1"/>
  <c r="D145" i="2"/>
  <c r="Q145" i="3" s="1"/>
  <c r="D145" i="3" s="1"/>
  <c r="C145" i="2"/>
  <c r="P145" i="3" s="1"/>
  <c r="C145" i="3" s="1"/>
  <c r="B145" i="2"/>
  <c r="G141" i="2"/>
  <c r="T141" i="3" s="1"/>
  <c r="G141" i="3" s="1"/>
  <c r="E141" i="2"/>
  <c r="R141" i="3" s="1"/>
  <c r="E141" i="3" s="1"/>
  <c r="D141" i="2"/>
  <c r="Q141" i="3" s="1"/>
  <c r="D141" i="3" s="1"/>
  <c r="C141" i="2"/>
  <c r="P141" i="3" s="1"/>
  <c r="C141" i="3" s="1"/>
  <c r="G137" i="2"/>
  <c r="T137" i="3" s="1"/>
  <c r="G137" i="3" s="1"/>
  <c r="E137" i="2"/>
  <c r="R137" i="3" s="1"/>
  <c r="E137" i="3" s="1"/>
  <c r="F137" i="2"/>
  <c r="S137" i="3" s="1"/>
  <c r="F137" i="3" s="1"/>
  <c r="D137" i="2"/>
  <c r="Q137" i="3" s="1"/>
  <c r="D137" i="3" s="1"/>
  <c r="C137" i="2"/>
  <c r="P137" i="3" s="1"/>
  <c r="C137" i="3" s="1"/>
  <c r="B137" i="2"/>
  <c r="G133" i="2"/>
  <c r="T133" i="3" s="1"/>
  <c r="G133" i="3" s="1"/>
  <c r="F133" i="2"/>
  <c r="S133" i="3" s="1"/>
  <c r="F133" i="3" s="1"/>
  <c r="E133" i="2"/>
  <c r="R133" i="3" s="1"/>
  <c r="E133" i="3" s="1"/>
  <c r="D133" i="2"/>
  <c r="Q133" i="3" s="1"/>
  <c r="D133" i="3" s="1"/>
  <c r="C133" i="2"/>
  <c r="P133" i="3" s="1"/>
  <c r="C133" i="3" s="1"/>
  <c r="B133" i="2"/>
  <c r="G129" i="2"/>
  <c r="T129" i="3" s="1"/>
  <c r="G129" i="3" s="1"/>
  <c r="E129" i="2"/>
  <c r="R129" i="3" s="1"/>
  <c r="E129" i="3" s="1"/>
  <c r="D129" i="2"/>
  <c r="Q129" i="3" s="1"/>
  <c r="D129" i="3" s="1"/>
  <c r="C129" i="2"/>
  <c r="P129" i="3" s="1"/>
  <c r="C129" i="3" s="1"/>
  <c r="G125" i="2"/>
  <c r="T125" i="3" s="1"/>
  <c r="G125" i="3" s="1"/>
  <c r="F125" i="2"/>
  <c r="S125" i="3" s="1"/>
  <c r="F125" i="3" s="1"/>
  <c r="E125" i="2"/>
  <c r="R125" i="3" s="1"/>
  <c r="E125" i="3" s="1"/>
  <c r="D125" i="2"/>
  <c r="Q125" i="3" s="1"/>
  <c r="D125" i="3" s="1"/>
  <c r="C125" i="2"/>
  <c r="P125" i="3" s="1"/>
  <c r="C125" i="3" s="1"/>
  <c r="B125" i="2"/>
  <c r="G121" i="2"/>
  <c r="T121" i="3" s="1"/>
  <c r="G121" i="3" s="1"/>
  <c r="E121" i="2"/>
  <c r="R121" i="3" s="1"/>
  <c r="E121" i="3" s="1"/>
  <c r="F121" i="2"/>
  <c r="S121" i="3" s="1"/>
  <c r="F121" i="3" s="1"/>
  <c r="D121" i="2"/>
  <c r="Q121" i="3" s="1"/>
  <c r="D121" i="3" s="1"/>
  <c r="C121" i="2"/>
  <c r="P121" i="3" s="1"/>
  <c r="C121" i="3" s="1"/>
  <c r="F117" i="2"/>
  <c r="S117" i="3" s="1"/>
  <c r="F117" i="3" s="1"/>
  <c r="G117" i="2"/>
  <c r="T117" i="3" s="1"/>
  <c r="G117" i="3" s="1"/>
  <c r="E117" i="2"/>
  <c r="R117" i="3" s="1"/>
  <c r="E117" i="3" s="1"/>
  <c r="D117" i="2"/>
  <c r="Q117" i="3" s="1"/>
  <c r="D117" i="3" s="1"/>
  <c r="C117" i="2"/>
  <c r="P117" i="3" s="1"/>
  <c r="C117" i="3" s="1"/>
  <c r="B117" i="2"/>
  <c r="G113" i="2"/>
  <c r="T113" i="3" s="1"/>
  <c r="G113" i="3" s="1"/>
  <c r="E113" i="2"/>
  <c r="R113" i="3" s="1"/>
  <c r="E113" i="3" s="1"/>
  <c r="D113" i="2"/>
  <c r="Q113" i="3" s="1"/>
  <c r="D113" i="3" s="1"/>
  <c r="C113" i="2"/>
  <c r="P113" i="3" s="1"/>
  <c r="C113" i="3" s="1"/>
  <c r="G109" i="2"/>
  <c r="T109" i="3" s="1"/>
  <c r="G109" i="3" s="1"/>
  <c r="F109" i="2"/>
  <c r="S109" i="3" s="1"/>
  <c r="F109" i="3" s="1"/>
  <c r="E109" i="2"/>
  <c r="R109" i="3" s="1"/>
  <c r="E109" i="3" s="1"/>
  <c r="D109" i="2"/>
  <c r="Q109" i="3" s="1"/>
  <c r="D109" i="3" s="1"/>
  <c r="C109" i="2"/>
  <c r="P109" i="3" s="1"/>
  <c r="C109" i="3" s="1"/>
  <c r="B109" i="2"/>
  <c r="G105" i="2"/>
  <c r="T105" i="3" s="1"/>
  <c r="G105" i="3" s="1"/>
  <c r="E105" i="2"/>
  <c r="R105" i="3" s="1"/>
  <c r="E105" i="3" s="1"/>
  <c r="D105" i="2"/>
  <c r="Q105" i="3" s="1"/>
  <c r="D105" i="3" s="1"/>
  <c r="C105" i="2"/>
  <c r="P105" i="3" s="1"/>
  <c r="C105" i="3" s="1"/>
  <c r="G101" i="2"/>
  <c r="T101" i="3" s="1"/>
  <c r="G101" i="3" s="1"/>
  <c r="F101" i="2"/>
  <c r="S101" i="3" s="1"/>
  <c r="F101" i="3" s="1"/>
  <c r="E101" i="2"/>
  <c r="R101" i="3" s="1"/>
  <c r="E101" i="3" s="1"/>
  <c r="D101" i="2"/>
  <c r="Q101" i="3" s="1"/>
  <c r="D101" i="3" s="1"/>
  <c r="C101" i="2"/>
  <c r="P101" i="3" s="1"/>
  <c r="C101" i="3" s="1"/>
  <c r="B101" i="2"/>
  <c r="G97" i="2"/>
  <c r="T97" i="3" s="1"/>
  <c r="G97" i="3" s="1"/>
  <c r="F97" i="2"/>
  <c r="S97" i="3" s="1"/>
  <c r="F97" i="3" s="1"/>
  <c r="E97" i="2"/>
  <c r="R97" i="3" s="1"/>
  <c r="E97" i="3" s="1"/>
  <c r="D97" i="2"/>
  <c r="Q97" i="3" s="1"/>
  <c r="D97" i="3" s="1"/>
  <c r="C97" i="2"/>
  <c r="P97" i="3" s="1"/>
  <c r="C97" i="3" s="1"/>
  <c r="B97" i="2"/>
  <c r="G93" i="2"/>
  <c r="T93" i="3" s="1"/>
  <c r="G93" i="3" s="1"/>
  <c r="F93" i="2"/>
  <c r="S93" i="3" s="1"/>
  <c r="F93" i="3" s="1"/>
  <c r="E93" i="2"/>
  <c r="R93" i="3" s="1"/>
  <c r="E93" i="3" s="1"/>
  <c r="D93" i="2"/>
  <c r="Q93" i="3" s="1"/>
  <c r="D93" i="3" s="1"/>
  <c r="C93" i="2"/>
  <c r="P93" i="3" s="1"/>
  <c r="C93" i="3" s="1"/>
  <c r="B93" i="2"/>
  <c r="G89" i="2"/>
  <c r="T89" i="3" s="1"/>
  <c r="G89" i="3" s="1"/>
  <c r="E89" i="2"/>
  <c r="R89" i="3" s="1"/>
  <c r="E89" i="3" s="1"/>
  <c r="D89" i="2"/>
  <c r="Q89" i="3" s="1"/>
  <c r="D89" i="3" s="1"/>
  <c r="C89" i="2"/>
  <c r="P89" i="3" s="1"/>
  <c r="C89" i="3" s="1"/>
  <c r="B89" i="2"/>
  <c r="G85" i="2"/>
  <c r="T85" i="3" s="1"/>
  <c r="G85" i="3" s="1"/>
  <c r="F85" i="2"/>
  <c r="S85" i="3" s="1"/>
  <c r="F85" i="3" s="1"/>
  <c r="E85" i="2"/>
  <c r="R85" i="3" s="1"/>
  <c r="E85" i="3" s="1"/>
  <c r="D85" i="2"/>
  <c r="Q85" i="3" s="1"/>
  <c r="D85" i="3" s="1"/>
  <c r="C85" i="2"/>
  <c r="P85" i="3" s="1"/>
  <c r="C85" i="3" s="1"/>
  <c r="B85" i="2"/>
  <c r="G81" i="2"/>
  <c r="T81" i="3" s="1"/>
  <c r="G81" i="3" s="1"/>
  <c r="F81" i="2"/>
  <c r="S81" i="3" s="1"/>
  <c r="F81" i="3" s="1"/>
  <c r="E81" i="2"/>
  <c r="R81" i="3" s="1"/>
  <c r="E81" i="3" s="1"/>
  <c r="D81" i="2"/>
  <c r="Q81" i="3" s="1"/>
  <c r="D81" i="3" s="1"/>
  <c r="C81" i="2"/>
  <c r="P81" i="3" s="1"/>
  <c r="C81" i="3" s="1"/>
  <c r="B81" i="2"/>
  <c r="G77" i="2"/>
  <c r="T77" i="3" s="1"/>
  <c r="G77" i="3" s="1"/>
  <c r="F77" i="2"/>
  <c r="S77" i="3" s="1"/>
  <c r="F77" i="3" s="1"/>
  <c r="E77" i="2"/>
  <c r="R77" i="3" s="1"/>
  <c r="E77" i="3" s="1"/>
  <c r="D77" i="2"/>
  <c r="Q77" i="3" s="1"/>
  <c r="D77" i="3" s="1"/>
  <c r="C77" i="2"/>
  <c r="P77" i="3" s="1"/>
  <c r="C77" i="3" s="1"/>
  <c r="B77" i="2"/>
  <c r="G73" i="2"/>
  <c r="T73" i="3" s="1"/>
  <c r="G73" i="3" s="1"/>
  <c r="E73" i="2"/>
  <c r="R73" i="3" s="1"/>
  <c r="E73" i="3" s="1"/>
  <c r="D73" i="2"/>
  <c r="Q73" i="3" s="1"/>
  <c r="D73" i="3" s="1"/>
  <c r="C73" i="2"/>
  <c r="P73" i="3" s="1"/>
  <c r="C73" i="3" s="1"/>
  <c r="B73" i="2"/>
  <c r="G69" i="2"/>
  <c r="T69" i="3" s="1"/>
  <c r="G69" i="3" s="1"/>
  <c r="E69" i="2"/>
  <c r="R69" i="3" s="1"/>
  <c r="E69" i="3" s="1"/>
  <c r="D69" i="2"/>
  <c r="Q69" i="3" s="1"/>
  <c r="D69" i="3" s="1"/>
  <c r="C69" i="2"/>
  <c r="P69" i="3" s="1"/>
  <c r="C69" i="3" s="1"/>
  <c r="H65" i="2"/>
  <c r="U65" i="3" s="1"/>
  <c r="V65" i="3" s="1"/>
  <c r="W65" i="3" s="1"/>
  <c r="G65" i="2"/>
  <c r="T65" i="3" s="1"/>
  <c r="G65" i="3" s="1"/>
  <c r="F65" i="2"/>
  <c r="S65" i="3" s="1"/>
  <c r="F65" i="3" s="1"/>
  <c r="E65" i="2"/>
  <c r="R65" i="3" s="1"/>
  <c r="E65" i="3" s="1"/>
  <c r="D65" i="2"/>
  <c r="Q65" i="3" s="1"/>
  <c r="D65" i="3" s="1"/>
  <c r="C65" i="2"/>
  <c r="P65" i="3" s="1"/>
  <c r="C65" i="3" s="1"/>
  <c r="B65" i="2"/>
  <c r="G61" i="2"/>
  <c r="T61" i="3" s="1"/>
  <c r="G61" i="3" s="1"/>
  <c r="E61" i="2"/>
  <c r="R61" i="3" s="1"/>
  <c r="E61" i="3" s="1"/>
  <c r="D61" i="2"/>
  <c r="Q61" i="3" s="1"/>
  <c r="D61" i="3" s="1"/>
  <c r="C61" i="2"/>
  <c r="P61" i="3" s="1"/>
  <c r="C61" i="3" s="1"/>
  <c r="B61" i="2"/>
  <c r="G57" i="2"/>
  <c r="T57" i="3" s="1"/>
  <c r="G57" i="3" s="1"/>
  <c r="F57" i="2"/>
  <c r="S57" i="3" s="1"/>
  <c r="F57" i="3" s="1"/>
  <c r="E57" i="2"/>
  <c r="R57" i="3" s="1"/>
  <c r="E57" i="3" s="1"/>
  <c r="D57" i="2"/>
  <c r="Q57" i="3" s="1"/>
  <c r="D57" i="3" s="1"/>
  <c r="C57" i="2"/>
  <c r="P57" i="3" s="1"/>
  <c r="C57" i="3" s="1"/>
  <c r="B57" i="2"/>
  <c r="G53" i="2"/>
  <c r="T53" i="3" s="1"/>
  <c r="G53" i="3" s="1"/>
  <c r="E53" i="2"/>
  <c r="R53" i="3" s="1"/>
  <c r="E53" i="3" s="1"/>
  <c r="D53" i="2"/>
  <c r="Q53" i="3" s="1"/>
  <c r="D53" i="3" s="1"/>
  <c r="C53" i="2"/>
  <c r="P53" i="3" s="1"/>
  <c r="C53" i="3" s="1"/>
  <c r="B53" i="2"/>
  <c r="G49" i="2"/>
  <c r="T49" i="3" s="1"/>
  <c r="G49" i="3" s="1"/>
  <c r="F49" i="2"/>
  <c r="S49" i="3" s="1"/>
  <c r="F49" i="3" s="1"/>
  <c r="E49" i="2"/>
  <c r="R49" i="3" s="1"/>
  <c r="E49" i="3" s="1"/>
  <c r="D49" i="2"/>
  <c r="Q49" i="3" s="1"/>
  <c r="D49" i="3" s="1"/>
  <c r="C49" i="2"/>
  <c r="P49" i="3" s="1"/>
  <c r="C49" i="3" s="1"/>
  <c r="B49" i="2"/>
  <c r="G45" i="2"/>
  <c r="T45" i="3" s="1"/>
  <c r="G45" i="3" s="1"/>
  <c r="E45" i="2"/>
  <c r="R45" i="3" s="1"/>
  <c r="E45" i="3" s="1"/>
  <c r="D45" i="2"/>
  <c r="Q45" i="3" s="1"/>
  <c r="D45" i="3" s="1"/>
  <c r="C45" i="2"/>
  <c r="P45" i="3" s="1"/>
  <c r="C45" i="3" s="1"/>
  <c r="B45" i="2"/>
  <c r="G41" i="2"/>
  <c r="T41" i="3" s="1"/>
  <c r="G41" i="3" s="1"/>
  <c r="F41" i="2"/>
  <c r="S41" i="3" s="1"/>
  <c r="F41" i="3" s="1"/>
  <c r="E41" i="2"/>
  <c r="R41" i="3" s="1"/>
  <c r="E41" i="3" s="1"/>
  <c r="D41" i="2"/>
  <c r="Q41" i="3" s="1"/>
  <c r="D41" i="3" s="1"/>
  <c r="C41" i="2"/>
  <c r="P41" i="3" s="1"/>
  <c r="C41" i="3" s="1"/>
  <c r="B41" i="2"/>
  <c r="G37" i="2"/>
  <c r="T37" i="3" s="1"/>
  <c r="G37" i="3" s="1"/>
  <c r="F37" i="2"/>
  <c r="S37" i="3" s="1"/>
  <c r="F37" i="3" s="1"/>
  <c r="E37" i="2"/>
  <c r="R37" i="3" s="1"/>
  <c r="E37" i="3" s="1"/>
  <c r="D37" i="2"/>
  <c r="Q37" i="3" s="1"/>
  <c r="D37" i="3" s="1"/>
  <c r="C37" i="2"/>
  <c r="P37" i="3" s="1"/>
  <c r="C37" i="3" s="1"/>
  <c r="B37" i="2"/>
  <c r="G33" i="2"/>
  <c r="T33" i="3" s="1"/>
  <c r="G33" i="3" s="1"/>
  <c r="E33" i="2"/>
  <c r="R33" i="3" s="1"/>
  <c r="E33" i="3" s="1"/>
  <c r="D33" i="2"/>
  <c r="Q33" i="3" s="1"/>
  <c r="D33" i="3" s="1"/>
  <c r="C33" i="2"/>
  <c r="P33" i="3" s="1"/>
  <c r="C33" i="3" s="1"/>
  <c r="G29" i="2"/>
  <c r="T29" i="3" s="1"/>
  <c r="G29" i="3" s="1"/>
  <c r="F29" i="2"/>
  <c r="S29" i="3" s="1"/>
  <c r="F29" i="3" s="1"/>
  <c r="E29" i="2"/>
  <c r="R29" i="3" s="1"/>
  <c r="E29" i="3" s="1"/>
  <c r="D29" i="2"/>
  <c r="Q29" i="3" s="1"/>
  <c r="D29" i="3" s="1"/>
  <c r="C29" i="2"/>
  <c r="P29" i="3" s="1"/>
  <c r="C29" i="3" s="1"/>
  <c r="B29" i="2"/>
  <c r="G25" i="2"/>
  <c r="T25" i="3" s="1"/>
  <c r="G25" i="3" s="1"/>
  <c r="E25" i="2"/>
  <c r="R25" i="3" s="1"/>
  <c r="E25" i="3" s="1"/>
  <c r="D25" i="2"/>
  <c r="Q25" i="3" s="1"/>
  <c r="D25" i="3" s="1"/>
  <c r="C25" i="2"/>
  <c r="P25" i="3" s="1"/>
  <c r="C25" i="3" s="1"/>
  <c r="B25" i="2"/>
  <c r="F21" i="2"/>
  <c r="S21" i="3" s="1"/>
  <c r="F21" i="3" s="1"/>
  <c r="G21" i="2"/>
  <c r="T21" i="3" s="1"/>
  <c r="G21" i="3" s="1"/>
  <c r="E21" i="2"/>
  <c r="R21" i="3" s="1"/>
  <c r="E21" i="3" s="1"/>
  <c r="D21" i="2"/>
  <c r="Q21" i="3" s="1"/>
  <c r="D21" i="3" s="1"/>
  <c r="C21" i="2"/>
  <c r="P21" i="3" s="1"/>
  <c r="C21" i="3" s="1"/>
  <c r="B21" i="2"/>
  <c r="G17" i="2"/>
  <c r="T17" i="3" s="1"/>
  <c r="G17" i="3" s="1"/>
  <c r="F17" i="2"/>
  <c r="S17" i="3" s="1"/>
  <c r="F17" i="3" s="1"/>
  <c r="D17" i="2"/>
  <c r="Q17" i="3" s="1"/>
  <c r="D17" i="3" s="1"/>
  <c r="E17" i="2"/>
  <c r="R17" i="3" s="1"/>
  <c r="E17" i="3" s="1"/>
  <c r="C17" i="2"/>
  <c r="P17" i="3" s="1"/>
  <c r="C17" i="3" s="1"/>
  <c r="B17" i="2"/>
  <c r="G13" i="2"/>
  <c r="T13" i="3" s="1"/>
  <c r="G13" i="3" s="1"/>
  <c r="F13" i="2"/>
  <c r="S13" i="3" s="1"/>
  <c r="F13" i="3" s="1"/>
  <c r="D13" i="2"/>
  <c r="Q13" i="3" s="1"/>
  <c r="D13" i="3" s="1"/>
  <c r="E13" i="2"/>
  <c r="R13" i="3" s="1"/>
  <c r="E13" i="3" s="1"/>
  <c r="C13" i="2"/>
  <c r="P13" i="3" s="1"/>
  <c r="C13" i="3" s="1"/>
  <c r="B13" i="2"/>
  <c r="G9" i="2"/>
  <c r="T9" i="3" s="1"/>
  <c r="G9" i="3" s="1"/>
  <c r="F9" i="2"/>
  <c r="S9" i="3" s="1"/>
  <c r="F9" i="3" s="1"/>
  <c r="D9" i="2"/>
  <c r="Q9" i="3" s="1"/>
  <c r="D9" i="3" s="1"/>
  <c r="E9" i="2"/>
  <c r="R9" i="3" s="1"/>
  <c r="E9" i="3" s="1"/>
  <c r="C9" i="2"/>
  <c r="P9" i="3" s="1"/>
  <c r="C9" i="3" s="1"/>
  <c r="B9" i="2"/>
  <c r="B334" i="2"/>
  <c r="B328" i="2"/>
  <c r="B323" i="2"/>
  <c r="B318" i="2"/>
  <c r="B312" i="2"/>
  <c r="B307" i="2"/>
  <c r="B302" i="2"/>
  <c r="B291" i="2"/>
  <c r="B286" i="2"/>
  <c r="B275" i="2"/>
  <c r="B270" i="2"/>
  <c r="B259" i="2"/>
  <c r="B254" i="2"/>
  <c r="B243" i="2"/>
  <c r="B238" i="2"/>
  <c r="B227" i="2"/>
  <c r="B222" i="2"/>
  <c r="B211" i="2"/>
  <c r="B206" i="2"/>
  <c r="B195" i="2"/>
  <c r="B190" i="2"/>
  <c r="B179" i="2"/>
  <c r="B174" i="2"/>
  <c r="B163" i="2"/>
  <c r="B158" i="2"/>
  <c r="B147" i="2"/>
  <c r="B142" i="2"/>
  <c r="B131" i="2"/>
  <c r="B126" i="2"/>
  <c r="B115" i="2"/>
  <c r="B110" i="2"/>
  <c r="B103" i="2"/>
  <c r="B95" i="2"/>
  <c r="B87" i="2"/>
  <c r="B79" i="2"/>
  <c r="B71" i="2"/>
  <c r="B63" i="2"/>
  <c r="B55" i="2"/>
  <c r="B47" i="2"/>
  <c r="B39" i="2"/>
  <c r="B27" i="2"/>
  <c r="B11" i="2"/>
  <c r="B145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G332" i="2"/>
  <c r="T332" i="3" s="1"/>
  <c r="G332" i="3" s="1"/>
  <c r="F332" i="2"/>
  <c r="S332" i="3" s="1"/>
  <c r="F332" i="3" s="1"/>
  <c r="D332" i="2"/>
  <c r="Q332" i="3" s="1"/>
  <c r="D332" i="3" s="1"/>
  <c r="C332" i="2"/>
  <c r="P332" i="3" s="1"/>
  <c r="C332" i="3" s="1"/>
  <c r="E332" i="2"/>
  <c r="R332" i="3" s="1"/>
  <c r="E332" i="3" s="1"/>
  <c r="G328" i="2"/>
  <c r="T328" i="3" s="1"/>
  <c r="G328" i="3" s="1"/>
  <c r="F328" i="2"/>
  <c r="S328" i="3" s="1"/>
  <c r="F328" i="3" s="1"/>
  <c r="E328" i="2"/>
  <c r="R328" i="3" s="1"/>
  <c r="E328" i="3" s="1"/>
  <c r="D328" i="2"/>
  <c r="Q328" i="3" s="1"/>
  <c r="D328" i="3" s="1"/>
  <c r="C328" i="2"/>
  <c r="P328" i="3" s="1"/>
  <c r="C328" i="3" s="1"/>
  <c r="G324" i="2"/>
  <c r="T324" i="3" s="1"/>
  <c r="G324" i="3" s="1"/>
  <c r="F324" i="2"/>
  <c r="S324" i="3" s="1"/>
  <c r="F324" i="3" s="1"/>
  <c r="E324" i="2"/>
  <c r="R324" i="3" s="1"/>
  <c r="E324" i="3" s="1"/>
  <c r="C324" i="2"/>
  <c r="P324" i="3" s="1"/>
  <c r="C324" i="3" s="1"/>
  <c r="D324" i="2"/>
  <c r="Q324" i="3" s="1"/>
  <c r="D324" i="3" s="1"/>
  <c r="G320" i="2"/>
  <c r="T320" i="3" s="1"/>
  <c r="G320" i="3" s="1"/>
  <c r="F320" i="2"/>
  <c r="S320" i="3" s="1"/>
  <c r="F320" i="3" s="1"/>
  <c r="C320" i="2"/>
  <c r="P320" i="3" s="1"/>
  <c r="C320" i="3" s="1"/>
  <c r="E320" i="2"/>
  <c r="R320" i="3" s="1"/>
  <c r="E320" i="3" s="1"/>
  <c r="D320" i="2"/>
  <c r="Q320" i="3" s="1"/>
  <c r="D320" i="3" s="1"/>
  <c r="G316" i="2"/>
  <c r="T316" i="3" s="1"/>
  <c r="G316" i="3" s="1"/>
  <c r="F316" i="2"/>
  <c r="S316" i="3" s="1"/>
  <c r="F316" i="3" s="1"/>
  <c r="D316" i="2"/>
  <c r="Q316" i="3" s="1"/>
  <c r="D316" i="3" s="1"/>
  <c r="E316" i="2"/>
  <c r="R316" i="3" s="1"/>
  <c r="E316" i="3" s="1"/>
  <c r="C316" i="2"/>
  <c r="P316" i="3" s="1"/>
  <c r="C316" i="3" s="1"/>
  <c r="G312" i="2"/>
  <c r="T312" i="3" s="1"/>
  <c r="G312" i="3" s="1"/>
  <c r="F312" i="2"/>
  <c r="S312" i="3" s="1"/>
  <c r="F312" i="3" s="1"/>
  <c r="E312" i="2"/>
  <c r="R312" i="3" s="1"/>
  <c r="E312" i="3" s="1"/>
  <c r="D312" i="2"/>
  <c r="Q312" i="3" s="1"/>
  <c r="D312" i="3" s="1"/>
  <c r="C312" i="2"/>
  <c r="P312" i="3" s="1"/>
  <c r="C312" i="3" s="1"/>
  <c r="G308" i="2"/>
  <c r="T308" i="3" s="1"/>
  <c r="G308" i="3" s="1"/>
  <c r="F308" i="2"/>
  <c r="S308" i="3" s="1"/>
  <c r="F308" i="3" s="1"/>
  <c r="E308" i="2"/>
  <c r="R308" i="3" s="1"/>
  <c r="E308" i="3" s="1"/>
  <c r="C308" i="2"/>
  <c r="P308" i="3" s="1"/>
  <c r="C308" i="3" s="1"/>
  <c r="D308" i="2"/>
  <c r="Q308" i="3" s="1"/>
  <c r="D308" i="3" s="1"/>
  <c r="G304" i="2"/>
  <c r="T304" i="3" s="1"/>
  <c r="G304" i="3" s="1"/>
  <c r="F304" i="2"/>
  <c r="S304" i="3" s="1"/>
  <c r="F304" i="3" s="1"/>
  <c r="C304" i="2"/>
  <c r="P304" i="3" s="1"/>
  <c r="C304" i="3" s="1"/>
  <c r="E304" i="2"/>
  <c r="R304" i="3" s="1"/>
  <c r="E304" i="3" s="1"/>
  <c r="D304" i="2"/>
  <c r="Q304" i="3" s="1"/>
  <c r="D304" i="3" s="1"/>
  <c r="G300" i="2"/>
  <c r="T300" i="3" s="1"/>
  <c r="G300" i="3" s="1"/>
  <c r="F300" i="2"/>
  <c r="S300" i="3" s="1"/>
  <c r="F300" i="3" s="1"/>
  <c r="E300" i="2"/>
  <c r="R300" i="3" s="1"/>
  <c r="E300" i="3" s="1"/>
  <c r="D300" i="2"/>
  <c r="Q300" i="3" s="1"/>
  <c r="D300" i="3" s="1"/>
  <c r="C300" i="2"/>
  <c r="P300" i="3" s="1"/>
  <c r="C300" i="3" s="1"/>
  <c r="G296" i="2"/>
  <c r="T296" i="3" s="1"/>
  <c r="G296" i="3" s="1"/>
  <c r="F296" i="2"/>
  <c r="S296" i="3" s="1"/>
  <c r="F296" i="3" s="1"/>
  <c r="E296" i="2"/>
  <c r="R296" i="3" s="1"/>
  <c r="E296" i="3" s="1"/>
  <c r="D296" i="2"/>
  <c r="Q296" i="3" s="1"/>
  <c r="D296" i="3" s="1"/>
  <c r="C296" i="2"/>
  <c r="P296" i="3" s="1"/>
  <c r="C296" i="3" s="1"/>
  <c r="G292" i="2"/>
  <c r="T292" i="3" s="1"/>
  <c r="G292" i="3" s="1"/>
  <c r="F292" i="2"/>
  <c r="S292" i="3" s="1"/>
  <c r="F292" i="3" s="1"/>
  <c r="C292" i="2"/>
  <c r="P292" i="3" s="1"/>
  <c r="C292" i="3" s="1"/>
  <c r="D292" i="2"/>
  <c r="Q292" i="3" s="1"/>
  <c r="D292" i="3" s="1"/>
  <c r="E292" i="2"/>
  <c r="R292" i="3" s="1"/>
  <c r="E292" i="3" s="1"/>
  <c r="G288" i="2"/>
  <c r="T288" i="3" s="1"/>
  <c r="G288" i="3" s="1"/>
  <c r="F288" i="2"/>
  <c r="S288" i="3" s="1"/>
  <c r="F288" i="3" s="1"/>
  <c r="C288" i="2"/>
  <c r="P288" i="3" s="1"/>
  <c r="C288" i="3" s="1"/>
  <c r="E288" i="2"/>
  <c r="R288" i="3" s="1"/>
  <c r="E288" i="3" s="1"/>
  <c r="D288" i="2"/>
  <c r="Q288" i="3" s="1"/>
  <c r="D288" i="3" s="1"/>
  <c r="G284" i="2"/>
  <c r="T284" i="3" s="1"/>
  <c r="G284" i="3" s="1"/>
  <c r="F284" i="2"/>
  <c r="S284" i="3" s="1"/>
  <c r="F284" i="3" s="1"/>
  <c r="E284" i="2"/>
  <c r="R284" i="3" s="1"/>
  <c r="E284" i="3" s="1"/>
  <c r="D284" i="2"/>
  <c r="Q284" i="3" s="1"/>
  <c r="D284" i="3" s="1"/>
  <c r="C284" i="2"/>
  <c r="P284" i="3" s="1"/>
  <c r="C284" i="3" s="1"/>
  <c r="G280" i="2"/>
  <c r="T280" i="3" s="1"/>
  <c r="G280" i="3" s="1"/>
  <c r="F280" i="2"/>
  <c r="S280" i="3" s="1"/>
  <c r="F280" i="3" s="1"/>
  <c r="E280" i="2"/>
  <c r="R280" i="3" s="1"/>
  <c r="E280" i="3" s="1"/>
  <c r="D280" i="2"/>
  <c r="Q280" i="3" s="1"/>
  <c r="D280" i="3" s="1"/>
  <c r="C280" i="2"/>
  <c r="P280" i="3" s="1"/>
  <c r="C280" i="3" s="1"/>
  <c r="G276" i="2"/>
  <c r="T276" i="3" s="1"/>
  <c r="G276" i="3" s="1"/>
  <c r="F276" i="2"/>
  <c r="S276" i="3" s="1"/>
  <c r="F276" i="3" s="1"/>
  <c r="E276" i="2"/>
  <c r="R276" i="3" s="1"/>
  <c r="E276" i="3" s="1"/>
  <c r="C276" i="2"/>
  <c r="P276" i="3" s="1"/>
  <c r="C276" i="3" s="1"/>
  <c r="D276" i="2"/>
  <c r="Q276" i="3" s="1"/>
  <c r="D276" i="3" s="1"/>
  <c r="G272" i="2"/>
  <c r="T272" i="3" s="1"/>
  <c r="G272" i="3" s="1"/>
  <c r="F272" i="2"/>
  <c r="S272" i="3" s="1"/>
  <c r="F272" i="3" s="1"/>
  <c r="E272" i="2"/>
  <c r="R272" i="3" s="1"/>
  <c r="E272" i="3" s="1"/>
  <c r="C272" i="2"/>
  <c r="P272" i="3" s="1"/>
  <c r="C272" i="3" s="1"/>
  <c r="D272" i="2"/>
  <c r="Q272" i="3" s="1"/>
  <c r="D272" i="3" s="1"/>
  <c r="G268" i="2"/>
  <c r="T268" i="3" s="1"/>
  <c r="G268" i="3" s="1"/>
  <c r="F268" i="2"/>
  <c r="S268" i="3" s="1"/>
  <c r="F268" i="3" s="1"/>
  <c r="E268" i="2"/>
  <c r="R268" i="3" s="1"/>
  <c r="E268" i="3" s="1"/>
  <c r="D268" i="2"/>
  <c r="Q268" i="3" s="1"/>
  <c r="D268" i="3" s="1"/>
  <c r="C268" i="2"/>
  <c r="P268" i="3" s="1"/>
  <c r="C268" i="3" s="1"/>
  <c r="E264" i="2"/>
  <c r="R264" i="3" s="1"/>
  <c r="E264" i="3" s="1"/>
  <c r="G260" i="2"/>
  <c r="T260" i="3" s="1"/>
  <c r="G260" i="3" s="1"/>
  <c r="F260" i="2"/>
  <c r="S260" i="3" s="1"/>
  <c r="F260" i="3" s="1"/>
  <c r="C260" i="2"/>
  <c r="P260" i="3" s="1"/>
  <c r="C260" i="3" s="1"/>
  <c r="D260" i="2"/>
  <c r="Q260" i="3" s="1"/>
  <c r="D260" i="3" s="1"/>
  <c r="E260" i="2"/>
  <c r="R260" i="3" s="1"/>
  <c r="E260" i="3" s="1"/>
  <c r="G256" i="2"/>
  <c r="T256" i="3" s="1"/>
  <c r="G256" i="3" s="1"/>
  <c r="F256" i="2"/>
  <c r="S256" i="3" s="1"/>
  <c r="F256" i="3" s="1"/>
  <c r="C256" i="2"/>
  <c r="P256" i="3" s="1"/>
  <c r="C256" i="3" s="1"/>
  <c r="E256" i="2"/>
  <c r="R256" i="3" s="1"/>
  <c r="E256" i="3" s="1"/>
  <c r="D256" i="2"/>
  <c r="Q256" i="3" s="1"/>
  <c r="D256" i="3" s="1"/>
  <c r="G252" i="2"/>
  <c r="T252" i="3" s="1"/>
  <c r="G252" i="3" s="1"/>
  <c r="F252" i="2"/>
  <c r="S252" i="3" s="1"/>
  <c r="F252" i="3" s="1"/>
  <c r="E252" i="2"/>
  <c r="R252" i="3" s="1"/>
  <c r="E252" i="3" s="1"/>
  <c r="D252" i="2"/>
  <c r="Q252" i="3" s="1"/>
  <c r="D252" i="3" s="1"/>
  <c r="C252" i="2"/>
  <c r="P252" i="3" s="1"/>
  <c r="C252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C248" i="2"/>
  <c r="P248" i="3" s="1"/>
  <c r="C248" i="3" s="1"/>
  <c r="G244" i="2"/>
  <c r="T244" i="3" s="1"/>
  <c r="G244" i="3" s="1"/>
  <c r="F244" i="2"/>
  <c r="S244" i="3" s="1"/>
  <c r="F244" i="3" s="1"/>
  <c r="E244" i="2"/>
  <c r="R244" i="3" s="1"/>
  <c r="E244" i="3" s="1"/>
  <c r="C244" i="2"/>
  <c r="P244" i="3" s="1"/>
  <c r="C244" i="3" s="1"/>
  <c r="D244" i="2"/>
  <c r="Q244" i="3" s="1"/>
  <c r="D244" i="3" s="1"/>
  <c r="G240" i="2"/>
  <c r="T240" i="3" s="1"/>
  <c r="G240" i="3" s="1"/>
  <c r="E240" i="2"/>
  <c r="R240" i="3" s="1"/>
  <c r="E240" i="3" s="1"/>
  <c r="F240" i="2"/>
  <c r="S240" i="3" s="1"/>
  <c r="F240" i="3" s="1"/>
  <c r="C240" i="2"/>
  <c r="P240" i="3" s="1"/>
  <c r="C240" i="3" s="1"/>
  <c r="D240" i="2"/>
  <c r="Q240" i="3" s="1"/>
  <c r="D240" i="3" s="1"/>
  <c r="G236" i="2"/>
  <c r="T236" i="3" s="1"/>
  <c r="G236" i="3" s="1"/>
  <c r="F236" i="2"/>
  <c r="S236" i="3" s="1"/>
  <c r="F236" i="3" s="1"/>
  <c r="E236" i="2"/>
  <c r="R236" i="3" s="1"/>
  <c r="E236" i="3" s="1"/>
  <c r="D236" i="2"/>
  <c r="Q236" i="3" s="1"/>
  <c r="D236" i="3" s="1"/>
  <c r="C236" i="2"/>
  <c r="P236" i="3" s="1"/>
  <c r="C236" i="3" s="1"/>
  <c r="G232" i="2"/>
  <c r="T232" i="3" s="1"/>
  <c r="G232" i="3" s="1"/>
  <c r="F232" i="2"/>
  <c r="S232" i="3" s="1"/>
  <c r="F232" i="3" s="1"/>
  <c r="E232" i="2"/>
  <c r="R232" i="3" s="1"/>
  <c r="E232" i="3" s="1"/>
  <c r="D232" i="2"/>
  <c r="Q232" i="3" s="1"/>
  <c r="D232" i="3" s="1"/>
  <c r="C232" i="2"/>
  <c r="P232" i="3" s="1"/>
  <c r="C232" i="3" s="1"/>
  <c r="G228" i="2"/>
  <c r="T228" i="3" s="1"/>
  <c r="G228" i="3" s="1"/>
  <c r="F228" i="2"/>
  <c r="S228" i="3" s="1"/>
  <c r="F228" i="3" s="1"/>
  <c r="C228" i="2"/>
  <c r="P228" i="3" s="1"/>
  <c r="C228" i="3" s="1"/>
  <c r="E228" i="2"/>
  <c r="R228" i="3" s="1"/>
  <c r="E228" i="3" s="1"/>
  <c r="D228" i="2"/>
  <c r="Q228" i="3" s="1"/>
  <c r="D228" i="3" s="1"/>
  <c r="G224" i="2"/>
  <c r="T224" i="3" s="1"/>
  <c r="G224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G220" i="2"/>
  <c r="T220" i="3" s="1"/>
  <c r="G220" i="3" s="1"/>
  <c r="F220" i="2"/>
  <c r="S220" i="3" s="1"/>
  <c r="F220" i="3" s="1"/>
  <c r="E220" i="2"/>
  <c r="R220" i="3" s="1"/>
  <c r="E220" i="3" s="1"/>
  <c r="D220" i="2"/>
  <c r="Q220" i="3" s="1"/>
  <c r="D220" i="3" s="1"/>
  <c r="C220" i="2"/>
  <c r="P220" i="3" s="1"/>
  <c r="C220" i="3" s="1"/>
  <c r="G216" i="2"/>
  <c r="T216" i="3" s="1"/>
  <c r="G216" i="3" s="1"/>
  <c r="F216" i="2"/>
  <c r="S216" i="3" s="1"/>
  <c r="F216" i="3" s="1"/>
  <c r="E216" i="2"/>
  <c r="R216" i="3" s="1"/>
  <c r="E216" i="3" s="1"/>
  <c r="D216" i="2"/>
  <c r="Q216" i="3" s="1"/>
  <c r="D216" i="3" s="1"/>
  <c r="C216" i="2"/>
  <c r="P216" i="3" s="1"/>
  <c r="C216" i="3" s="1"/>
  <c r="G212" i="2"/>
  <c r="T212" i="3" s="1"/>
  <c r="G212" i="3" s="1"/>
  <c r="E212" i="2"/>
  <c r="R212" i="3" s="1"/>
  <c r="E212" i="3" s="1"/>
  <c r="F212" i="2"/>
  <c r="S212" i="3" s="1"/>
  <c r="F212" i="3" s="1"/>
  <c r="C212" i="2"/>
  <c r="P212" i="3" s="1"/>
  <c r="C212" i="3" s="1"/>
  <c r="D212" i="2"/>
  <c r="Q212" i="3" s="1"/>
  <c r="D212" i="3" s="1"/>
  <c r="G208" i="2"/>
  <c r="T208" i="3" s="1"/>
  <c r="G208" i="3" s="1"/>
  <c r="E208" i="2"/>
  <c r="R208" i="3" s="1"/>
  <c r="E208" i="3" s="1"/>
  <c r="F208" i="2"/>
  <c r="S208" i="3" s="1"/>
  <c r="F208" i="3" s="1"/>
  <c r="C208" i="2"/>
  <c r="P208" i="3" s="1"/>
  <c r="C208" i="3" s="1"/>
  <c r="D208" i="2"/>
  <c r="Q208" i="3" s="1"/>
  <c r="D208" i="3" s="1"/>
  <c r="G204" i="2"/>
  <c r="T204" i="3" s="1"/>
  <c r="G204" i="3" s="1"/>
  <c r="F204" i="2"/>
  <c r="S204" i="3" s="1"/>
  <c r="F204" i="3" s="1"/>
  <c r="E204" i="2"/>
  <c r="R204" i="3" s="1"/>
  <c r="E204" i="3" s="1"/>
  <c r="C204" i="2"/>
  <c r="P204" i="3" s="1"/>
  <c r="C204" i="3" s="1"/>
  <c r="D204" i="2"/>
  <c r="Q204" i="3" s="1"/>
  <c r="D204" i="3" s="1"/>
  <c r="G200" i="2"/>
  <c r="T200" i="3" s="1"/>
  <c r="G200" i="3" s="1"/>
  <c r="F200" i="2"/>
  <c r="S200" i="3" s="1"/>
  <c r="F200" i="3" s="1"/>
  <c r="E200" i="2"/>
  <c r="R200" i="3" s="1"/>
  <c r="E200" i="3" s="1"/>
  <c r="C200" i="2"/>
  <c r="P200" i="3" s="1"/>
  <c r="C200" i="3" s="1"/>
  <c r="D200" i="2"/>
  <c r="Q200" i="3" s="1"/>
  <c r="D200" i="3" s="1"/>
  <c r="G196" i="2"/>
  <c r="T196" i="3" s="1"/>
  <c r="G196" i="3" s="1"/>
  <c r="E196" i="2"/>
  <c r="R196" i="3" s="1"/>
  <c r="E196" i="3" s="1"/>
  <c r="F196" i="2"/>
  <c r="S196" i="3" s="1"/>
  <c r="F196" i="3" s="1"/>
  <c r="C196" i="2"/>
  <c r="P196" i="3" s="1"/>
  <c r="C196" i="3" s="1"/>
  <c r="D196" i="2"/>
  <c r="Q196" i="3" s="1"/>
  <c r="D196" i="3" s="1"/>
  <c r="G192" i="2"/>
  <c r="T192" i="3" s="1"/>
  <c r="G192" i="3" s="1"/>
  <c r="E192" i="2"/>
  <c r="R192" i="3" s="1"/>
  <c r="E192" i="3" s="1"/>
  <c r="F192" i="2"/>
  <c r="S192" i="3" s="1"/>
  <c r="F192" i="3" s="1"/>
  <c r="C192" i="2"/>
  <c r="P192" i="3" s="1"/>
  <c r="C192" i="3" s="1"/>
  <c r="D192" i="2"/>
  <c r="Q192" i="3" s="1"/>
  <c r="D192" i="3" s="1"/>
  <c r="G188" i="2"/>
  <c r="T188" i="3" s="1"/>
  <c r="G188" i="3" s="1"/>
  <c r="F188" i="2"/>
  <c r="S188" i="3" s="1"/>
  <c r="F188" i="3" s="1"/>
  <c r="E188" i="2"/>
  <c r="R188" i="3" s="1"/>
  <c r="E188" i="3" s="1"/>
  <c r="C188" i="2"/>
  <c r="P188" i="3" s="1"/>
  <c r="C188" i="3" s="1"/>
  <c r="D188" i="2"/>
  <c r="Q188" i="3" s="1"/>
  <c r="D188" i="3" s="1"/>
  <c r="G184" i="2"/>
  <c r="T184" i="3" s="1"/>
  <c r="G184" i="3" s="1"/>
  <c r="F184" i="2"/>
  <c r="S184" i="3" s="1"/>
  <c r="F184" i="3" s="1"/>
  <c r="E184" i="2"/>
  <c r="R184" i="3" s="1"/>
  <c r="E184" i="3" s="1"/>
  <c r="C184" i="2"/>
  <c r="P184" i="3" s="1"/>
  <c r="C184" i="3" s="1"/>
  <c r="D184" i="2"/>
  <c r="Q184" i="3" s="1"/>
  <c r="D184" i="3" s="1"/>
  <c r="G180" i="2"/>
  <c r="T180" i="3" s="1"/>
  <c r="G180" i="3" s="1"/>
  <c r="E180" i="2"/>
  <c r="R180" i="3" s="1"/>
  <c r="E180" i="3" s="1"/>
  <c r="F180" i="2"/>
  <c r="S180" i="3" s="1"/>
  <c r="F180" i="3" s="1"/>
  <c r="C180" i="2"/>
  <c r="P180" i="3" s="1"/>
  <c r="C180" i="3" s="1"/>
  <c r="D180" i="2"/>
  <c r="Q180" i="3" s="1"/>
  <c r="D180" i="3" s="1"/>
  <c r="G176" i="2"/>
  <c r="T176" i="3" s="1"/>
  <c r="G176" i="3" s="1"/>
  <c r="E176" i="2"/>
  <c r="R176" i="3" s="1"/>
  <c r="E176" i="3" s="1"/>
  <c r="F176" i="2"/>
  <c r="S176" i="3" s="1"/>
  <c r="F176" i="3" s="1"/>
  <c r="C176" i="2"/>
  <c r="P176" i="3" s="1"/>
  <c r="C176" i="3" s="1"/>
  <c r="D176" i="2"/>
  <c r="Q176" i="3" s="1"/>
  <c r="D176" i="3" s="1"/>
  <c r="G172" i="2"/>
  <c r="T172" i="3" s="1"/>
  <c r="G172" i="3" s="1"/>
  <c r="F172" i="2"/>
  <c r="S172" i="3" s="1"/>
  <c r="F172" i="3" s="1"/>
  <c r="E172" i="2"/>
  <c r="R172" i="3" s="1"/>
  <c r="E172" i="3" s="1"/>
  <c r="C172" i="2"/>
  <c r="P172" i="3" s="1"/>
  <c r="C172" i="3" s="1"/>
  <c r="D172" i="2"/>
  <c r="Q172" i="3" s="1"/>
  <c r="D172" i="3" s="1"/>
  <c r="G168" i="2"/>
  <c r="T168" i="3" s="1"/>
  <c r="G168" i="3" s="1"/>
  <c r="F168" i="2"/>
  <c r="S168" i="3" s="1"/>
  <c r="F168" i="3" s="1"/>
  <c r="E168" i="2"/>
  <c r="R168" i="3" s="1"/>
  <c r="E168" i="3" s="1"/>
  <c r="C168" i="2"/>
  <c r="P168" i="3" s="1"/>
  <c r="C168" i="3" s="1"/>
  <c r="D168" i="2"/>
  <c r="Q168" i="3" s="1"/>
  <c r="D168" i="3" s="1"/>
  <c r="G164" i="2"/>
  <c r="T164" i="3" s="1"/>
  <c r="G164" i="3" s="1"/>
  <c r="E164" i="2"/>
  <c r="R164" i="3" s="1"/>
  <c r="E164" i="3" s="1"/>
  <c r="F164" i="2"/>
  <c r="S164" i="3" s="1"/>
  <c r="F164" i="3" s="1"/>
  <c r="C164" i="2"/>
  <c r="P164" i="3" s="1"/>
  <c r="C164" i="3" s="1"/>
  <c r="D164" i="2"/>
  <c r="Q164" i="3" s="1"/>
  <c r="D164" i="3" s="1"/>
  <c r="G160" i="2"/>
  <c r="T160" i="3" s="1"/>
  <c r="G160" i="3" s="1"/>
  <c r="F160" i="2"/>
  <c r="S160" i="3" s="1"/>
  <c r="F160" i="3" s="1"/>
  <c r="E160" i="2"/>
  <c r="R160" i="3" s="1"/>
  <c r="E160" i="3" s="1"/>
  <c r="C160" i="2"/>
  <c r="P160" i="3" s="1"/>
  <c r="C160" i="3" s="1"/>
  <c r="D160" i="2"/>
  <c r="Q160" i="3" s="1"/>
  <c r="D160" i="3" s="1"/>
  <c r="G156" i="2"/>
  <c r="T156" i="3" s="1"/>
  <c r="G156" i="3" s="1"/>
  <c r="E156" i="2"/>
  <c r="R156" i="3" s="1"/>
  <c r="E156" i="3" s="1"/>
  <c r="F156" i="2"/>
  <c r="S156" i="3" s="1"/>
  <c r="F156" i="3" s="1"/>
  <c r="C156" i="2"/>
  <c r="P156" i="3" s="1"/>
  <c r="C156" i="3" s="1"/>
  <c r="D156" i="2"/>
  <c r="Q156" i="3" s="1"/>
  <c r="D156" i="3" s="1"/>
  <c r="G152" i="2"/>
  <c r="T152" i="3" s="1"/>
  <c r="G152" i="3" s="1"/>
  <c r="F152" i="2"/>
  <c r="S152" i="3" s="1"/>
  <c r="F152" i="3" s="1"/>
  <c r="E152" i="2"/>
  <c r="R152" i="3" s="1"/>
  <c r="E152" i="3" s="1"/>
  <c r="C152" i="2"/>
  <c r="P152" i="3" s="1"/>
  <c r="C152" i="3" s="1"/>
  <c r="D152" i="2"/>
  <c r="Q152" i="3" s="1"/>
  <c r="D152" i="3" s="1"/>
  <c r="G148" i="2"/>
  <c r="T148" i="3" s="1"/>
  <c r="G148" i="3" s="1"/>
  <c r="E148" i="2"/>
  <c r="R148" i="3" s="1"/>
  <c r="E148" i="3" s="1"/>
  <c r="F148" i="2"/>
  <c r="S148" i="3" s="1"/>
  <c r="F148" i="3" s="1"/>
  <c r="C148" i="2"/>
  <c r="P148" i="3" s="1"/>
  <c r="C148" i="3" s="1"/>
  <c r="D148" i="2"/>
  <c r="Q148" i="3" s="1"/>
  <c r="D148" i="3" s="1"/>
  <c r="G144" i="2"/>
  <c r="T144" i="3" s="1"/>
  <c r="G144" i="3" s="1"/>
  <c r="F144" i="2"/>
  <c r="S144" i="3" s="1"/>
  <c r="F144" i="3" s="1"/>
  <c r="E144" i="2"/>
  <c r="R144" i="3" s="1"/>
  <c r="E144" i="3" s="1"/>
  <c r="C144" i="2"/>
  <c r="P144" i="3" s="1"/>
  <c r="C144" i="3" s="1"/>
  <c r="D144" i="2"/>
  <c r="Q144" i="3" s="1"/>
  <c r="D144" i="3" s="1"/>
  <c r="G140" i="2"/>
  <c r="T140" i="3" s="1"/>
  <c r="G140" i="3" s="1"/>
  <c r="E140" i="2"/>
  <c r="R140" i="3" s="1"/>
  <c r="E140" i="3" s="1"/>
  <c r="F140" i="2"/>
  <c r="S140" i="3" s="1"/>
  <c r="F140" i="3" s="1"/>
  <c r="C140" i="2"/>
  <c r="P140" i="3" s="1"/>
  <c r="C140" i="3" s="1"/>
  <c r="D140" i="2"/>
  <c r="Q140" i="3" s="1"/>
  <c r="D140" i="3" s="1"/>
  <c r="G136" i="2"/>
  <c r="T136" i="3" s="1"/>
  <c r="G136" i="3" s="1"/>
  <c r="F136" i="2"/>
  <c r="S136" i="3" s="1"/>
  <c r="F136" i="3" s="1"/>
  <c r="E136" i="2"/>
  <c r="R136" i="3" s="1"/>
  <c r="E136" i="3" s="1"/>
  <c r="C136" i="2"/>
  <c r="P136" i="3" s="1"/>
  <c r="C136" i="3" s="1"/>
  <c r="D136" i="2"/>
  <c r="Q136" i="3" s="1"/>
  <c r="D136" i="3" s="1"/>
  <c r="G132" i="2"/>
  <c r="T132" i="3" s="1"/>
  <c r="G132" i="3" s="1"/>
  <c r="E132" i="2"/>
  <c r="R132" i="3" s="1"/>
  <c r="E132" i="3" s="1"/>
  <c r="F132" i="2"/>
  <c r="S132" i="3" s="1"/>
  <c r="F132" i="3" s="1"/>
  <c r="C132" i="2"/>
  <c r="P132" i="3" s="1"/>
  <c r="C132" i="3" s="1"/>
  <c r="D132" i="2"/>
  <c r="Q132" i="3" s="1"/>
  <c r="D132" i="3" s="1"/>
  <c r="G128" i="2"/>
  <c r="T128" i="3" s="1"/>
  <c r="G128" i="3" s="1"/>
  <c r="F128" i="2"/>
  <c r="S128" i="3" s="1"/>
  <c r="F128" i="3" s="1"/>
  <c r="E128" i="2"/>
  <c r="R128" i="3" s="1"/>
  <c r="E128" i="3" s="1"/>
  <c r="C128" i="2"/>
  <c r="P128" i="3" s="1"/>
  <c r="C128" i="3" s="1"/>
  <c r="D128" i="2"/>
  <c r="Q128" i="3" s="1"/>
  <c r="D128" i="3" s="1"/>
  <c r="G124" i="2"/>
  <c r="T124" i="3" s="1"/>
  <c r="G124" i="3" s="1"/>
  <c r="E124" i="2"/>
  <c r="R124" i="3" s="1"/>
  <c r="E124" i="3" s="1"/>
  <c r="F124" i="2"/>
  <c r="S124" i="3" s="1"/>
  <c r="F124" i="3" s="1"/>
  <c r="C124" i="2"/>
  <c r="P124" i="3" s="1"/>
  <c r="C124" i="3" s="1"/>
  <c r="D124" i="2"/>
  <c r="Q124" i="3" s="1"/>
  <c r="D124" i="3" s="1"/>
  <c r="G120" i="2"/>
  <c r="T120" i="3" s="1"/>
  <c r="G120" i="3" s="1"/>
  <c r="F120" i="2"/>
  <c r="S120" i="3" s="1"/>
  <c r="F120" i="3" s="1"/>
  <c r="E120" i="2"/>
  <c r="R120" i="3" s="1"/>
  <c r="E120" i="3" s="1"/>
  <c r="C120" i="2"/>
  <c r="P120" i="3" s="1"/>
  <c r="C120" i="3" s="1"/>
  <c r="D120" i="2"/>
  <c r="Q120" i="3" s="1"/>
  <c r="D120" i="3" s="1"/>
  <c r="G116" i="2"/>
  <c r="T116" i="3" s="1"/>
  <c r="G116" i="3" s="1"/>
  <c r="F116" i="2"/>
  <c r="S116" i="3" s="1"/>
  <c r="F116" i="3" s="1"/>
  <c r="E116" i="2"/>
  <c r="R116" i="3" s="1"/>
  <c r="E116" i="3" s="1"/>
  <c r="C116" i="2"/>
  <c r="P116" i="3" s="1"/>
  <c r="C116" i="3" s="1"/>
  <c r="D116" i="2"/>
  <c r="Q116" i="3" s="1"/>
  <c r="D116" i="3" s="1"/>
  <c r="G112" i="2"/>
  <c r="T112" i="3" s="1"/>
  <c r="G112" i="3" s="1"/>
  <c r="F112" i="2"/>
  <c r="S112" i="3" s="1"/>
  <c r="F112" i="3" s="1"/>
  <c r="E112" i="2"/>
  <c r="R112" i="3" s="1"/>
  <c r="E112" i="3" s="1"/>
  <c r="C112" i="2"/>
  <c r="P112" i="3" s="1"/>
  <c r="C112" i="3" s="1"/>
  <c r="D112" i="2"/>
  <c r="Q112" i="3" s="1"/>
  <c r="D112" i="3" s="1"/>
  <c r="G108" i="2"/>
  <c r="T108" i="3" s="1"/>
  <c r="G108" i="3" s="1"/>
  <c r="F108" i="2"/>
  <c r="S108" i="3" s="1"/>
  <c r="F108" i="3" s="1"/>
  <c r="E108" i="2"/>
  <c r="R108" i="3" s="1"/>
  <c r="E108" i="3" s="1"/>
  <c r="C108" i="2"/>
  <c r="P108" i="3" s="1"/>
  <c r="C108" i="3" s="1"/>
  <c r="D108" i="2"/>
  <c r="Q108" i="3" s="1"/>
  <c r="D108" i="3" s="1"/>
  <c r="G104" i="2"/>
  <c r="T104" i="3" s="1"/>
  <c r="G104" i="3" s="1"/>
  <c r="F104" i="2"/>
  <c r="S104" i="3" s="1"/>
  <c r="F104" i="3" s="1"/>
  <c r="E104" i="2"/>
  <c r="R104" i="3" s="1"/>
  <c r="E104" i="3" s="1"/>
  <c r="C104" i="2"/>
  <c r="P104" i="3" s="1"/>
  <c r="C104" i="3" s="1"/>
  <c r="D104" i="2"/>
  <c r="Q104" i="3" s="1"/>
  <c r="D104" i="3" s="1"/>
  <c r="B104" i="2"/>
  <c r="G100" i="2"/>
  <c r="T100" i="3" s="1"/>
  <c r="G100" i="3" s="1"/>
  <c r="E100" i="2"/>
  <c r="R100" i="3" s="1"/>
  <c r="E100" i="3" s="1"/>
  <c r="F100" i="2"/>
  <c r="S100" i="3" s="1"/>
  <c r="F100" i="3" s="1"/>
  <c r="C100" i="2"/>
  <c r="P100" i="3" s="1"/>
  <c r="C100" i="3" s="1"/>
  <c r="D100" i="2"/>
  <c r="Q100" i="3" s="1"/>
  <c r="D100" i="3" s="1"/>
  <c r="B100" i="2"/>
  <c r="G96" i="2"/>
  <c r="T96" i="3" s="1"/>
  <c r="G96" i="3" s="1"/>
  <c r="F96" i="2"/>
  <c r="S96" i="3" s="1"/>
  <c r="F96" i="3" s="1"/>
  <c r="E96" i="2"/>
  <c r="R96" i="3" s="1"/>
  <c r="E96" i="3" s="1"/>
  <c r="C96" i="2"/>
  <c r="P96" i="3" s="1"/>
  <c r="C96" i="3" s="1"/>
  <c r="B96" i="2"/>
  <c r="D96" i="2"/>
  <c r="Q96" i="3" s="1"/>
  <c r="D96" i="3" s="1"/>
  <c r="G92" i="2"/>
  <c r="T92" i="3" s="1"/>
  <c r="G92" i="3" s="1"/>
  <c r="F92" i="2"/>
  <c r="S92" i="3" s="1"/>
  <c r="F92" i="3" s="1"/>
  <c r="E92" i="2"/>
  <c r="R92" i="3" s="1"/>
  <c r="E92" i="3" s="1"/>
  <c r="C92" i="2"/>
  <c r="P92" i="3" s="1"/>
  <c r="C92" i="3" s="1"/>
  <c r="D92" i="2"/>
  <c r="Q92" i="3" s="1"/>
  <c r="D92" i="3" s="1"/>
  <c r="B92" i="2"/>
  <c r="G88" i="2"/>
  <c r="T88" i="3" s="1"/>
  <c r="G88" i="3" s="1"/>
  <c r="F88" i="2"/>
  <c r="S88" i="3" s="1"/>
  <c r="F88" i="3" s="1"/>
  <c r="E88" i="2"/>
  <c r="R88" i="3" s="1"/>
  <c r="E88" i="3" s="1"/>
  <c r="C88" i="2"/>
  <c r="P88" i="3" s="1"/>
  <c r="C88" i="3" s="1"/>
  <c r="D88" i="2"/>
  <c r="Q88" i="3" s="1"/>
  <c r="D88" i="3" s="1"/>
  <c r="B88" i="2"/>
  <c r="G84" i="2"/>
  <c r="T84" i="3" s="1"/>
  <c r="G84" i="3" s="1"/>
  <c r="F84" i="2"/>
  <c r="S84" i="3" s="1"/>
  <c r="F84" i="3" s="1"/>
  <c r="E84" i="2"/>
  <c r="R84" i="3" s="1"/>
  <c r="E84" i="3" s="1"/>
  <c r="C84" i="2"/>
  <c r="P84" i="3" s="1"/>
  <c r="C84" i="3" s="1"/>
  <c r="D84" i="2"/>
  <c r="Q84" i="3" s="1"/>
  <c r="D84" i="3" s="1"/>
  <c r="B84" i="2"/>
  <c r="G80" i="2"/>
  <c r="T80" i="3" s="1"/>
  <c r="G80" i="3" s="1"/>
  <c r="F80" i="2"/>
  <c r="S80" i="3" s="1"/>
  <c r="F80" i="3" s="1"/>
  <c r="E80" i="2"/>
  <c r="R80" i="3" s="1"/>
  <c r="E80" i="3" s="1"/>
  <c r="C80" i="2"/>
  <c r="P80" i="3" s="1"/>
  <c r="C80" i="3" s="1"/>
  <c r="B80" i="2"/>
  <c r="D80" i="2"/>
  <c r="Q80" i="3" s="1"/>
  <c r="D80" i="3" s="1"/>
  <c r="G76" i="2"/>
  <c r="T76" i="3" s="1"/>
  <c r="G76" i="3" s="1"/>
  <c r="F76" i="2"/>
  <c r="S76" i="3" s="1"/>
  <c r="F76" i="3" s="1"/>
  <c r="E76" i="2"/>
  <c r="R76" i="3" s="1"/>
  <c r="E76" i="3" s="1"/>
  <c r="C76" i="2"/>
  <c r="P76" i="3" s="1"/>
  <c r="C76" i="3" s="1"/>
  <c r="D76" i="2"/>
  <c r="Q76" i="3" s="1"/>
  <c r="D76" i="3" s="1"/>
  <c r="B76" i="2"/>
  <c r="G72" i="2"/>
  <c r="T72" i="3" s="1"/>
  <c r="G72" i="3" s="1"/>
  <c r="F72" i="2"/>
  <c r="S72" i="3" s="1"/>
  <c r="F72" i="3" s="1"/>
  <c r="E72" i="2"/>
  <c r="R72" i="3" s="1"/>
  <c r="E72" i="3" s="1"/>
  <c r="C72" i="2"/>
  <c r="P72" i="3" s="1"/>
  <c r="C72" i="3" s="1"/>
  <c r="D72" i="2"/>
  <c r="Q72" i="3" s="1"/>
  <c r="D72" i="3" s="1"/>
  <c r="B72" i="2"/>
  <c r="G68" i="2"/>
  <c r="T68" i="3" s="1"/>
  <c r="G68" i="3" s="1"/>
  <c r="F68" i="2"/>
  <c r="S68" i="3" s="1"/>
  <c r="F68" i="3" s="1"/>
  <c r="E68" i="2"/>
  <c r="R68" i="3" s="1"/>
  <c r="E68" i="3" s="1"/>
  <c r="C68" i="2"/>
  <c r="P68" i="3" s="1"/>
  <c r="C68" i="3" s="1"/>
  <c r="D68" i="2"/>
  <c r="Q68" i="3" s="1"/>
  <c r="D68" i="3" s="1"/>
  <c r="B68" i="2"/>
  <c r="G64" i="2"/>
  <c r="T64" i="3" s="1"/>
  <c r="G64" i="3" s="1"/>
  <c r="F64" i="2"/>
  <c r="S64" i="3" s="1"/>
  <c r="F64" i="3" s="1"/>
  <c r="E64" i="2"/>
  <c r="R64" i="3" s="1"/>
  <c r="E64" i="3" s="1"/>
  <c r="C64" i="2"/>
  <c r="P64" i="3" s="1"/>
  <c r="C64" i="3" s="1"/>
  <c r="B64" i="2"/>
  <c r="D64" i="2"/>
  <c r="Q64" i="3" s="1"/>
  <c r="D64" i="3" s="1"/>
  <c r="G60" i="2"/>
  <c r="T60" i="3" s="1"/>
  <c r="G60" i="3" s="1"/>
  <c r="F60" i="2"/>
  <c r="S60" i="3" s="1"/>
  <c r="F60" i="3" s="1"/>
  <c r="E60" i="2"/>
  <c r="R60" i="3" s="1"/>
  <c r="E60" i="3" s="1"/>
  <c r="C60" i="2"/>
  <c r="P60" i="3" s="1"/>
  <c r="C60" i="3" s="1"/>
  <c r="D60" i="2"/>
  <c r="Q60" i="3" s="1"/>
  <c r="D60" i="3" s="1"/>
  <c r="B60" i="2"/>
  <c r="G56" i="2"/>
  <c r="T56" i="3" s="1"/>
  <c r="G56" i="3" s="1"/>
  <c r="F56" i="2"/>
  <c r="S56" i="3" s="1"/>
  <c r="F56" i="3" s="1"/>
  <c r="E56" i="2"/>
  <c r="R56" i="3" s="1"/>
  <c r="E56" i="3" s="1"/>
  <c r="C56" i="2"/>
  <c r="P56" i="3" s="1"/>
  <c r="C56" i="3" s="1"/>
  <c r="D56" i="2"/>
  <c r="Q56" i="3" s="1"/>
  <c r="D56" i="3" s="1"/>
  <c r="B56" i="2"/>
  <c r="G52" i="2"/>
  <c r="T52" i="3" s="1"/>
  <c r="G52" i="3" s="1"/>
  <c r="F52" i="2"/>
  <c r="S52" i="3" s="1"/>
  <c r="F52" i="3" s="1"/>
  <c r="E52" i="2"/>
  <c r="R52" i="3" s="1"/>
  <c r="E52" i="3" s="1"/>
  <c r="C52" i="2"/>
  <c r="P52" i="3" s="1"/>
  <c r="C52" i="3" s="1"/>
  <c r="D52" i="2"/>
  <c r="Q52" i="3" s="1"/>
  <c r="D52" i="3" s="1"/>
  <c r="B52" i="2"/>
  <c r="G48" i="2"/>
  <c r="T48" i="3" s="1"/>
  <c r="G48" i="3" s="1"/>
  <c r="F48" i="2"/>
  <c r="S48" i="3" s="1"/>
  <c r="F48" i="3" s="1"/>
  <c r="E48" i="2"/>
  <c r="R48" i="3" s="1"/>
  <c r="E48" i="3" s="1"/>
  <c r="C48" i="2"/>
  <c r="P48" i="3" s="1"/>
  <c r="C48" i="3" s="1"/>
  <c r="B48" i="2"/>
  <c r="D48" i="2"/>
  <c r="Q48" i="3" s="1"/>
  <c r="D48" i="3" s="1"/>
  <c r="G44" i="2"/>
  <c r="T44" i="3" s="1"/>
  <c r="G44" i="3" s="1"/>
  <c r="F44" i="2"/>
  <c r="S44" i="3" s="1"/>
  <c r="F44" i="3" s="1"/>
  <c r="E44" i="2"/>
  <c r="R44" i="3" s="1"/>
  <c r="E44" i="3" s="1"/>
  <c r="C44" i="2"/>
  <c r="P44" i="3" s="1"/>
  <c r="C44" i="3" s="1"/>
  <c r="D44" i="2"/>
  <c r="Q44" i="3" s="1"/>
  <c r="D44" i="3" s="1"/>
  <c r="B44" i="2"/>
  <c r="G40" i="2"/>
  <c r="T40" i="3" s="1"/>
  <c r="G40" i="3" s="1"/>
  <c r="F40" i="2"/>
  <c r="S40" i="3" s="1"/>
  <c r="F40" i="3" s="1"/>
  <c r="E40" i="2"/>
  <c r="R40" i="3" s="1"/>
  <c r="E40" i="3" s="1"/>
  <c r="C40" i="2"/>
  <c r="P40" i="3" s="1"/>
  <c r="C40" i="3" s="1"/>
  <c r="D40" i="2"/>
  <c r="Q40" i="3" s="1"/>
  <c r="D40" i="3" s="1"/>
  <c r="B40" i="2"/>
  <c r="G36" i="2"/>
  <c r="T36" i="3" s="1"/>
  <c r="G36" i="3" s="1"/>
  <c r="F36" i="2"/>
  <c r="S36" i="3" s="1"/>
  <c r="F36" i="3" s="1"/>
  <c r="E36" i="2"/>
  <c r="R36" i="3" s="1"/>
  <c r="E36" i="3" s="1"/>
  <c r="C36" i="2"/>
  <c r="P36" i="3" s="1"/>
  <c r="C36" i="3" s="1"/>
  <c r="D36" i="2"/>
  <c r="Q36" i="3" s="1"/>
  <c r="D36" i="3" s="1"/>
  <c r="B36" i="2"/>
  <c r="G32" i="2"/>
  <c r="T32" i="3" s="1"/>
  <c r="G32" i="3" s="1"/>
  <c r="F32" i="2"/>
  <c r="S32" i="3" s="1"/>
  <c r="F32" i="3" s="1"/>
  <c r="E32" i="2"/>
  <c r="R32" i="3" s="1"/>
  <c r="E32" i="3" s="1"/>
  <c r="C32" i="2"/>
  <c r="P32" i="3" s="1"/>
  <c r="C32" i="3" s="1"/>
  <c r="B32" i="2"/>
  <c r="D32" i="2"/>
  <c r="Q32" i="3" s="1"/>
  <c r="D32" i="3" s="1"/>
  <c r="G28" i="2"/>
  <c r="T28" i="3" s="1"/>
  <c r="G28" i="3" s="1"/>
  <c r="F28" i="2"/>
  <c r="S28" i="3" s="1"/>
  <c r="F28" i="3" s="1"/>
  <c r="E28" i="2"/>
  <c r="R28" i="3" s="1"/>
  <c r="E28" i="3" s="1"/>
  <c r="C28" i="2"/>
  <c r="P28" i="3" s="1"/>
  <c r="C28" i="3" s="1"/>
  <c r="D28" i="2"/>
  <c r="Q28" i="3" s="1"/>
  <c r="D28" i="3" s="1"/>
  <c r="B28" i="2"/>
  <c r="G24" i="2"/>
  <c r="T24" i="3" s="1"/>
  <c r="G24" i="3" s="1"/>
  <c r="F24" i="2"/>
  <c r="S24" i="3" s="1"/>
  <c r="F24" i="3" s="1"/>
  <c r="E24" i="2"/>
  <c r="R24" i="3" s="1"/>
  <c r="E24" i="3" s="1"/>
  <c r="C24" i="2"/>
  <c r="P24" i="3" s="1"/>
  <c r="C24" i="3" s="1"/>
  <c r="D24" i="2"/>
  <c r="Q24" i="3" s="1"/>
  <c r="D24" i="3" s="1"/>
  <c r="B24" i="2"/>
  <c r="G20" i="2"/>
  <c r="T20" i="3" s="1"/>
  <c r="G20" i="3" s="1"/>
  <c r="F20" i="2"/>
  <c r="S20" i="3" s="1"/>
  <c r="F20" i="3" s="1"/>
  <c r="E20" i="2"/>
  <c r="R20" i="3" s="1"/>
  <c r="E20" i="3" s="1"/>
  <c r="C20" i="2"/>
  <c r="P20" i="3" s="1"/>
  <c r="C20" i="3" s="1"/>
  <c r="D20" i="2"/>
  <c r="Q20" i="3" s="1"/>
  <c r="D20" i="3" s="1"/>
  <c r="B20" i="2"/>
  <c r="G16" i="2"/>
  <c r="T16" i="3" s="1"/>
  <c r="G16" i="3" s="1"/>
  <c r="F16" i="2"/>
  <c r="S16" i="3" s="1"/>
  <c r="F16" i="3" s="1"/>
  <c r="E16" i="2"/>
  <c r="R16" i="3" s="1"/>
  <c r="E16" i="3" s="1"/>
  <c r="D16" i="2"/>
  <c r="Q16" i="3" s="1"/>
  <c r="D16" i="3" s="1"/>
  <c r="C16" i="2"/>
  <c r="P16" i="3" s="1"/>
  <c r="C16" i="3" s="1"/>
  <c r="B16" i="2"/>
  <c r="G12" i="2"/>
  <c r="T12" i="3" s="1"/>
  <c r="G12" i="3" s="1"/>
  <c r="F12" i="2"/>
  <c r="S12" i="3" s="1"/>
  <c r="F12" i="3" s="1"/>
  <c r="E12" i="2"/>
  <c r="R12" i="3" s="1"/>
  <c r="E12" i="3" s="1"/>
  <c r="C12" i="2"/>
  <c r="P12" i="3" s="1"/>
  <c r="C12" i="3" s="1"/>
  <c r="D12" i="2"/>
  <c r="Q12" i="3" s="1"/>
  <c r="D12" i="3" s="1"/>
  <c r="B12" i="2"/>
  <c r="G8" i="2"/>
  <c r="T8" i="3" s="1"/>
  <c r="G8" i="3" s="1"/>
  <c r="F8" i="2"/>
  <c r="S8" i="3" s="1"/>
  <c r="F8" i="3" s="1"/>
  <c r="E8" i="2"/>
  <c r="R8" i="3" s="1"/>
  <c r="E8" i="3" s="1"/>
  <c r="C8" i="2"/>
  <c r="P8" i="3" s="1"/>
  <c r="C8" i="3" s="1"/>
  <c r="B8" i="2"/>
  <c r="B332" i="2"/>
  <c r="B322" i="2"/>
  <c r="B316" i="2"/>
  <c r="B306" i="2"/>
  <c r="B300" i="2"/>
  <c r="B295" i="2"/>
  <c r="B290" i="2"/>
  <c r="B284" i="2"/>
  <c r="B279" i="2"/>
  <c r="B274" i="2"/>
  <c r="B268" i="2"/>
  <c r="B263" i="2"/>
  <c r="B258" i="2"/>
  <c r="B252" i="2"/>
  <c r="B247" i="2"/>
  <c r="B242" i="2"/>
  <c r="B236" i="2"/>
  <c r="B231" i="2"/>
  <c r="B226" i="2"/>
  <c r="B220" i="2"/>
  <c r="B215" i="2"/>
  <c r="B210" i="2"/>
  <c r="B204" i="2"/>
  <c r="B199" i="2"/>
  <c r="B194" i="2"/>
  <c r="B188" i="2"/>
  <c r="B183" i="2"/>
  <c r="B178" i="2"/>
  <c r="B172" i="2"/>
  <c r="B167" i="2"/>
  <c r="B162" i="2"/>
  <c r="B156" i="2"/>
  <c r="B151" i="2"/>
  <c r="B146" i="2"/>
  <c r="B140" i="2"/>
  <c r="B135" i="2"/>
  <c r="B130" i="2"/>
  <c r="B124" i="2"/>
  <c r="B119" i="2"/>
  <c r="B114" i="2"/>
  <c r="B108" i="2"/>
  <c r="B102" i="2"/>
  <c r="B94" i="2"/>
  <c r="B86" i="2"/>
  <c r="B78" i="2"/>
  <c r="B70" i="2"/>
  <c r="B62" i="2"/>
  <c r="B54" i="2"/>
  <c r="B46" i="2"/>
  <c r="B38" i="2"/>
  <c r="B23" i="2"/>
  <c r="B316" i="1"/>
  <c r="B304" i="1"/>
  <c r="B292" i="1"/>
  <c r="B284" i="1"/>
  <c r="B272" i="1"/>
  <c r="B260" i="1"/>
  <c r="B252" i="1"/>
  <c r="B240" i="1"/>
  <c r="B228" i="1"/>
  <c r="B220" i="1"/>
  <c r="B208" i="1"/>
  <c r="B196" i="1"/>
  <c r="G6" i="2"/>
  <c r="T6" i="3" s="1"/>
  <c r="G6" i="3" s="1"/>
  <c r="F6" i="2"/>
  <c r="S6" i="3" s="1"/>
  <c r="F6" i="3" s="1"/>
  <c r="E6" i="2"/>
  <c r="R6" i="3" s="1"/>
  <c r="E6" i="3" s="1"/>
  <c r="C6" i="2"/>
  <c r="P6" i="3" s="1"/>
  <c r="C6" i="3" s="1"/>
  <c r="D6" i="2"/>
  <c r="Q6" i="3" s="1"/>
  <c r="D6" i="3" s="1"/>
  <c r="G327" i="2"/>
  <c r="T327" i="3" s="1"/>
  <c r="G327" i="3" s="1"/>
  <c r="F327" i="2"/>
  <c r="S327" i="3" s="1"/>
  <c r="F327" i="3" s="1"/>
  <c r="D327" i="2"/>
  <c r="Q327" i="3" s="1"/>
  <c r="D327" i="3" s="1"/>
  <c r="C327" i="2"/>
  <c r="P327" i="3" s="1"/>
  <c r="C327" i="3" s="1"/>
  <c r="E327" i="2"/>
  <c r="R327" i="3" s="1"/>
  <c r="E327" i="3" s="1"/>
  <c r="G319" i="2"/>
  <c r="T319" i="3" s="1"/>
  <c r="G319" i="3" s="1"/>
  <c r="F319" i="2"/>
  <c r="S319" i="3" s="1"/>
  <c r="F319" i="3" s="1"/>
  <c r="C319" i="2"/>
  <c r="P319" i="3" s="1"/>
  <c r="C319" i="3" s="1"/>
  <c r="E319" i="2"/>
  <c r="R319" i="3" s="1"/>
  <c r="E319" i="3" s="1"/>
  <c r="D319" i="2"/>
  <c r="Q319" i="3" s="1"/>
  <c r="D319" i="3" s="1"/>
  <c r="G311" i="2"/>
  <c r="T311" i="3" s="1"/>
  <c r="G311" i="3" s="1"/>
  <c r="F311" i="2"/>
  <c r="S311" i="3" s="1"/>
  <c r="F311" i="3" s="1"/>
  <c r="D311" i="2"/>
  <c r="Q311" i="3" s="1"/>
  <c r="D311" i="3" s="1"/>
  <c r="C311" i="2"/>
  <c r="P311" i="3" s="1"/>
  <c r="C311" i="3" s="1"/>
  <c r="E311" i="2"/>
  <c r="R311" i="3" s="1"/>
  <c r="E311" i="3" s="1"/>
  <c r="G303" i="2"/>
  <c r="T303" i="3" s="1"/>
  <c r="G303" i="3" s="1"/>
  <c r="F303" i="2"/>
  <c r="S303" i="3" s="1"/>
  <c r="F303" i="3" s="1"/>
  <c r="C303" i="2"/>
  <c r="P303" i="3" s="1"/>
  <c r="C303" i="3" s="1"/>
  <c r="E303" i="2"/>
  <c r="R303" i="3" s="1"/>
  <c r="E303" i="3" s="1"/>
  <c r="D303" i="2"/>
  <c r="Q303" i="3" s="1"/>
  <c r="D303" i="3" s="1"/>
  <c r="G283" i="2"/>
  <c r="T283" i="3" s="1"/>
  <c r="G283" i="3" s="1"/>
  <c r="F283" i="2"/>
  <c r="S283" i="3" s="1"/>
  <c r="F283" i="3" s="1"/>
  <c r="E283" i="2"/>
  <c r="R283" i="3" s="1"/>
  <c r="E283" i="3" s="1"/>
  <c r="C283" i="2"/>
  <c r="P283" i="3" s="1"/>
  <c r="C283" i="3" s="1"/>
  <c r="D283" i="2"/>
  <c r="Q283" i="3" s="1"/>
  <c r="D283" i="3" s="1"/>
  <c r="G235" i="2"/>
  <c r="T235" i="3" s="1"/>
  <c r="G235" i="3" s="1"/>
  <c r="F235" i="2"/>
  <c r="S235" i="3" s="1"/>
  <c r="F235" i="3" s="1"/>
  <c r="E235" i="2"/>
  <c r="R235" i="3" s="1"/>
  <c r="E235" i="3" s="1"/>
  <c r="C235" i="2"/>
  <c r="P235" i="3" s="1"/>
  <c r="C235" i="3" s="1"/>
  <c r="D235" i="2"/>
  <c r="Q235" i="3" s="1"/>
  <c r="D235" i="3" s="1"/>
  <c r="B326" i="2"/>
  <c r="B320" i="2"/>
  <c r="B315" i="2"/>
  <c r="B294" i="2"/>
  <c r="B288" i="2"/>
  <c r="B283" i="2"/>
  <c r="B262" i="2"/>
  <c r="B256" i="2"/>
  <c r="B251" i="2"/>
  <c r="B230" i="2"/>
  <c r="B224" i="2"/>
  <c r="B219" i="2"/>
  <c r="B198" i="2"/>
  <c r="B192" i="2"/>
  <c r="B187" i="2"/>
  <c r="B171" i="2"/>
  <c r="B166" i="2"/>
  <c r="B160" i="2"/>
  <c r="B155" i="2"/>
  <c r="B150" i="2"/>
  <c r="B144" i="2"/>
  <c r="B139" i="2"/>
  <c r="B134" i="2"/>
  <c r="B128" i="2"/>
  <c r="B123" i="2"/>
  <c r="B118" i="2"/>
  <c r="B112" i="2"/>
  <c r="B107" i="2"/>
  <c r="B99" i="2"/>
  <c r="B91" i="2"/>
  <c r="B83" i="2"/>
  <c r="B75" i="2"/>
  <c r="B67" i="2"/>
  <c r="B59" i="2"/>
  <c r="B51" i="2"/>
  <c r="B43" i="2"/>
  <c r="B35" i="2"/>
  <c r="B19" i="2"/>
  <c r="G183" i="2"/>
  <c r="T183" i="3" s="1"/>
  <c r="G183" i="3" s="1"/>
  <c r="F183" i="2"/>
  <c r="S183" i="3" s="1"/>
  <c r="F183" i="3" s="1"/>
  <c r="E183" i="2"/>
  <c r="R183" i="3" s="1"/>
  <c r="E183" i="3" s="1"/>
  <c r="G179" i="2"/>
  <c r="T179" i="3" s="1"/>
  <c r="G179" i="3" s="1"/>
  <c r="F179" i="2"/>
  <c r="S179" i="3" s="1"/>
  <c r="F179" i="3" s="1"/>
  <c r="E179" i="2"/>
  <c r="R179" i="3" s="1"/>
  <c r="E179" i="3" s="1"/>
  <c r="G175" i="2"/>
  <c r="T175" i="3" s="1"/>
  <c r="G175" i="3" s="1"/>
  <c r="F175" i="2"/>
  <c r="S175" i="3" s="1"/>
  <c r="F175" i="3" s="1"/>
  <c r="E175" i="2"/>
  <c r="R175" i="3" s="1"/>
  <c r="E175" i="3" s="1"/>
  <c r="G171" i="2"/>
  <c r="T171" i="3" s="1"/>
  <c r="G171" i="3" s="1"/>
  <c r="F171" i="2"/>
  <c r="S171" i="3" s="1"/>
  <c r="F171" i="3" s="1"/>
  <c r="E171" i="2"/>
  <c r="R171" i="3" s="1"/>
  <c r="E171" i="3" s="1"/>
  <c r="G167" i="2"/>
  <c r="T167" i="3" s="1"/>
  <c r="G167" i="3" s="1"/>
  <c r="F167" i="2"/>
  <c r="S167" i="3" s="1"/>
  <c r="F167" i="3" s="1"/>
  <c r="E167" i="2"/>
  <c r="R167" i="3" s="1"/>
  <c r="E167" i="3" s="1"/>
  <c r="G163" i="2"/>
  <c r="T163" i="3" s="1"/>
  <c r="G163" i="3" s="1"/>
  <c r="F163" i="2"/>
  <c r="S163" i="3" s="1"/>
  <c r="F163" i="3" s="1"/>
  <c r="E163" i="2"/>
  <c r="R163" i="3" s="1"/>
  <c r="E163" i="3" s="1"/>
  <c r="G159" i="2"/>
  <c r="T159" i="3" s="1"/>
  <c r="G159" i="3" s="1"/>
  <c r="F159" i="2"/>
  <c r="S159" i="3" s="1"/>
  <c r="F159" i="3" s="1"/>
  <c r="E159" i="2"/>
  <c r="R159" i="3" s="1"/>
  <c r="E159" i="3" s="1"/>
  <c r="G155" i="2"/>
  <c r="T155" i="3" s="1"/>
  <c r="G155" i="3" s="1"/>
  <c r="F155" i="2"/>
  <c r="S155" i="3" s="1"/>
  <c r="F155" i="3" s="1"/>
  <c r="E155" i="2"/>
  <c r="R155" i="3" s="1"/>
  <c r="E155" i="3" s="1"/>
  <c r="G151" i="2"/>
  <c r="T151" i="3" s="1"/>
  <c r="G151" i="3" s="1"/>
  <c r="F151" i="2"/>
  <c r="S151" i="3" s="1"/>
  <c r="F151" i="3" s="1"/>
  <c r="E151" i="2"/>
  <c r="R151" i="3" s="1"/>
  <c r="E151" i="3" s="1"/>
  <c r="G147" i="2"/>
  <c r="T147" i="3" s="1"/>
  <c r="G147" i="3" s="1"/>
  <c r="F147" i="2"/>
  <c r="S147" i="3" s="1"/>
  <c r="F147" i="3" s="1"/>
  <c r="E147" i="2"/>
  <c r="R147" i="3" s="1"/>
  <c r="E147" i="3" s="1"/>
  <c r="G143" i="2"/>
  <c r="T143" i="3" s="1"/>
  <c r="G143" i="3" s="1"/>
  <c r="F143" i="2"/>
  <c r="S143" i="3" s="1"/>
  <c r="F143" i="3" s="1"/>
  <c r="E143" i="2"/>
  <c r="R143" i="3" s="1"/>
  <c r="E143" i="3" s="1"/>
  <c r="G139" i="2"/>
  <c r="T139" i="3" s="1"/>
  <c r="G139" i="3" s="1"/>
  <c r="F139" i="2"/>
  <c r="S139" i="3" s="1"/>
  <c r="F139" i="3" s="1"/>
  <c r="E139" i="2"/>
  <c r="R139" i="3" s="1"/>
  <c r="E139" i="3" s="1"/>
  <c r="G135" i="2"/>
  <c r="T135" i="3" s="1"/>
  <c r="G135" i="3" s="1"/>
  <c r="F135" i="2"/>
  <c r="S135" i="3" s="1"/>
  <c r="F135" i="3" s="1"/>
  <c r="E135" i="2"/>
  <c r="R135" i="3" s="1"/>
  <c r="E135" i="3" s="1"/>
  <c r="G131" i="2"/>
  <c r="T131" i="3" s="1"/>
  <c r="G131" i="3" s="1"/>
  <c r="F131" i="2"/>
  <c r="S131" i="3" s="1"/>
  <c r="F131" i="3" s="1"/>
  <c r="E131" i="2"/>
  <c r="R131" i="3" s="1"/>
  <c r="E131" i="3" s="1"/>
  <c r="G127" i="2"/>
  <c r="T127" i="3" s="1"/>
  <c r="G127" i="3" s="1"/>
  <c r="F127" i="2"/>
  <c r="S127" i="3" s="1"/>
  <c r="F127" i="3" s="1"/>
  <c r="E127" i="2"/>
  <c r="R127" i="3" s="1"/>
  <c r="E127" i="3" s="1"/>
  <c r="G123" i="2"/>
  <c r="T123" i="3" s="1"/>
  <c r="G123" i="3" s="1"/>
  <c r="F123" i="2"/>
  <c r="S123" i="3" s="1"/>
  <c r="F123" i="3" s="1"/>
  <c r="E123" i="2"/>
  <c r="R123" i="3" s="1"/>
  <c r="E123" i="3" s="1"/>
  <c r="G119" i="2"/>
  <c r="T119" i="3" s="1"/>
  <c r="G119" i="3" s="1"/>
  <c r="F119" i="2"/>
  <c r="S119" i="3" s="1"/>
  <c r="F119" i="3" s="1"/>
  <c r="E119" i="2"/>
  <c r="R119" i="3" s="1"/>
  <c r="E119" i="3" s="1"/>
  <c r="G115" i="2"/>
  <c r="T115" i="3" s="1"/>
  <c r="G115" i="3" s="1"/>
  <c r="F115" i="2"/>
  <c r="S115" i="3" s="1"/>
  <c r="F115" i="3" s="1"/>
  <c r="E115" i="2"/>
  <c r="R115" i="3" s="1"/>
  <c r="E115" i="3" s="1"/>
  <c r="G111" i="2"/>
  <c r="T111" i="3" s="1"/>
  <c r="G111" i="3" s="1"/>
  <c r="E111" i="2"/>
  <c r="R111" i="3" s="1"/>
  <c r="E111" i="3" s="1"/>
  <c r="F111" i="2"/>
  <c r="S111" i="3" s="1"/>
  <c r="F111" i="3" s="1"/>
  <c r="G107" i="2"/>
  <c r="T107" i="3" s="1"/>
  <c r="G107" i="3" s="1"/>
  <c r="F107" i="2"/>
  <c r="S107" i="3" s="1"/>
  <c r="F107" i="3" s="1"/>
  <c r="E107" i="2"/>
  <c r="R107" i="3" s="1"/>
  <c r="E107" i="3" s="1"/>
  <c r="G103" i="2"/>
  <c r="T103" i="3" s="1"/>
  <c r="G103" i="3" s="1"/>
  <c r="F103" i="2"/>
  <c r="S103" i="3" s="1"/>
  <c r="F103" i="3" s="1"/>
  <c r="E103" i="2"/>
  <c r="R103" i="3" s="1"/>
  <c r="E103" i="3" s="1"/>
  <c r="G99" i="2"/>
  <c r="T99" i="3" s="1"/>
  <c r="G99" i="3" s="1"/>
  <c r="F99" i="2"/>
  <c r="S99" i="3" s="1"/>
  <c r="F99" i="3" s="1"/>
  <c r="E99" i="2"/>
  <c r="R99" i="3" s="1"/>
  <c r="E99" i="3" s="1"/>
  <c r="G95" i="2"/>
  <c r="T95" i="3" s="1"/>
  <c r="G95" i="3" s="1"/>
  <c r="F95" i="2"/>
  <c r="S95" i="3" s="1"/>
  <c r="F95" i="3" s="1"/>
  <c r="E95" i="2"/>
  <c r="R95" i="3" s="1"/>
  <c r="E95" i="3" s="1"/>
  <c r="G91" i="2"/>
  <c r="T91" i="3" s="1"/>
  <c r="G91" i="3" s="1"/>
  <c r="F91" i="2"/>
  <c r="S91" i="3" s="1"/>
  <c r="F91" i="3" s="1"/>
  <c r="E91" i="2"/>
  <c r="R91" i="3" s="1"/>
  <c r="E91" i="3" s="1"/>
  <c r="G87" i="2"/>
  <c r="T87" i="3" s="1"/>
  <c r="G87" i="3" s="1"/>
  <c r="F87" i="2"/>
  <c r="S87" i="3" s="1"/>
  <c r="F87" i="3" s="1"/>
  <c r="E87" i="2"/>
  <c r="R87" i="3" s="1"/>
  <c r="E87" i="3" s="1"/>
  <c r="G83" i="2"/>
  <c r="T83" i="3" s="1"/>
  <c r="G83" i="3" s="1"/>
  <c r="F83" i="2"/>
  <c r="S83" i="3" s="1"/>
  <c r="F83" i="3" s="1"/>
  <c r="E83" i="2"/>
  <c r="R83" i="3" s="1"/>
  <c r="E83" i="3" s="1"/>
  <c r="F79" i="2"/>
  <c r="S79" i="3" s="1"/>
  <c r="F79" i="3" s="1"/>
  <c r="G79" i="2"/>
  <c r="T79" i="3" s="1"/>
  <c r="G79" i="3" s="1"/>
  <c r="E79" i="2"/>
  <c r="R79" i="3" s="1"/>
  <c r="E79" i="3" s="1"/>
  <c r="G75" i="2"/>
  <c r="T75" i="3" s="1"/>
  <c r="G75" i="3" s="1"/>
  <c r="F75" i="2"/>
  <c r="S75" i="3" s="1"/>
  <c r="F75" i="3" s="1"/>
  <c r="E75" i="2"/>
  <c r="R75" i="3" s="1"/>
  <c r="E75" i="3" s="1"/>
  <c r="G71" i="2"/>
  <c r="T71" i="3" s="1"/>
  <c r="G71" i="3" s="1"/>
  <c r="F71" i="2"/>
  <c r="S71" i="3" s="1"/>
  <c r="F71" i="3" s="1"/>
  <c r="E71" i="2"/>
  <c r="R71" i="3" s="1"/>
  <c r="E71" i="3" s="1"/>
  <c r="F67" i="2"/>
  <c r="S67" i="3" s="1"/>
  <c r="F67" i="3" s="1"/>
  <c r="G67" i="2"/>
  <c r="T67" i="3" s="1"/>
  <c r="G67" i="3" s="1"/>
  <c r="E67" i="2"/>
  <c r="R67" i="3" s="1"/>
  <c r="E67" i="3" s="1"/>
  <c r="G63" i="2"/>
  <c r="T63" i="3" s="1"/>
  <c r="G63" i="3" s="1"/>
  <c r="F63" i="2"/>
  <c r="S63" i="3" s="1"/>
  <c r="F63" i="3" s="1"/>
  <c r="E63" i="2"/>
  <c r="R63" i="3" s="1"/>
  <c r="E63" i="3" s="1"/>
  <c r="G59" i="2"/>
  <c r="T59" i="3" s="1"/>
  <c r="G59" i="3" s="1"/>
  <c r="F59" i="2"/>
  <c r="S59" i="3" s="1"/>
  <c r="F59" i="3" s="1"/>
  <c r="E59" i="2"/>
  <c r="R59" i="3" s="1"/>
  <c r="E59" i="3" s="1"/>
  <c r="G55" i="2"/>
  <c r="T55" i="3" s="1"/>
  <c r="G55" i="3" s="1"/>
  <c r="F55" i="2"/>
  <c r="S55" i="3" s="1"/>
  <c r="F55" i="3" s="1"/>
  <c r="E55" i="2"/>
  <c r="R55" i="3" s="1"/>
  <c r="E55" i="3" s="1"/>
  <c r="F51" i="2"/>
  <c r="S51" i="3" s="1"/>
  <c r="F51" i="3" s="1"/>
  <c r="G51" i="2"/>
  <c r="T51" i="3" s="1"/>
  <c r="G51" i="3" s="1"/>
  <c r="E51" i="2"/>
  <c r="R51" i="3" s="1"/>
  <c r="E51" i="3" s="1"/>
  <c r="G47" i="2"/>
  <c r="T47" i="3" s="1"/>
  <c r="G47" i="3" s="1"/>
  <c r="F47" i="2"/>
  <c r="S47" i="3" s="1"/>
  <c r="F47" i="3" s="1"/>
  <c r="E47" i="2"/>
  <c r="R47" i="3" s="1"/>
  <c r="E47" i="3" s="1"/>
  <c r="G43" i="2"/>
  <c r="T43" i="3" s="1"/>
  <c r="G43" i="3" s="1"/>
  <c r="F43" i="2"/>
  <c r="S43" i="3" s="1"/>
  <c r="F43" i="3" s="1"/>
  <c r="E43" i="2"/>
  <c r="R43" i="3" s="1"/>
  <c r="E43" i="3" s="1"/>
  <c r="G39" i="2"/>
  <c r="T39" i="3" s="1"/>
  <c r="G39" i="3" s="1"/>
  <c r="F39" i="2"/>
  <c r="S39" i="3" s="1"/>
  <c r="F39" i="3" s="1"/>
  <c r="E39" i="2"/>
  <c r="R39" i="3" s="1"/>
  <c r="E39" i="3" s="1"/>
  <c r="G35" i="2"/>
  <c r="T35" i="3" s="1"/>
  <c r="G35" i="3" s="1"/>
  <c r="F35" i="2"/>
  <c r="S35" i="3" s="1"/>
  <c r="F35" i="3" s="1"/>
  <c r="E35" i="2"/>
  <c r="R35" i="3" s="1"/>
  <c r="E35" i="3" s="1"/>
  <c r="G31" i="2"/>
  <c r="T31" i="3" s="1"/>
  <c r="G31" i="3" s="1"/>
  <c r="F31" i="2"/>
  <c r="S31" i="3" s="1"/>
  <c r="F31" i="3" s="1"/>
  <c r="E31" i="2"/>
  <c r="R31" i="3" s="1"/>
  <c r="E31" i="3" s="1"/>
  <c r="G27" i="2"/>
  <c r="T27" i="3" s="1"/>
  <c r="G27" i="3" s="1"/>
  <c r="F27" i="2"/>
  <c r="S27" i="3" s="1"/>
  <c r="F27" i="3" s="1"/>
  <c r="E27" i="2"/>
  <c r="R27" i="3" s="1"/>
  <c r="E27" i="3" s="1"/>
  <c r="G23" i="2"/>
  <c r="T23" i="3" s="1"/>
  <c r="G23" i="3" s="1"/>
  <c r="F23" i="2"/>
  <c r="S23" i="3" s="1"/>
  <c r="F23" i="3" s="1"/>
  <c r="E23" i="2"/>
  <c r="R23" i="3" s="1"/>
  <c r="E23" i="3" s="1"/>
  <c r="G19" i="2"/>
  <c r="T19" i="3" s="1"/>
  <c r="G19" i="3" s="1"/>
  <c r="F19" i="2"/>
  <c r="S19" i="3" s="1"/>
  <c r="F19" i="3" s="1"/>
  <c r="E19" i="2"/>
  <c r="R19" i="3" s="1"/>
  <c r="E19" i="3" s="1"/>
  <c r="F15" i="2"/>
  <c r="S15" i="3" s="1"/>
  <c r="F15" i="3" s="1"/>
  <c r="G15" i="2"/>
  <c r="T15" i="3" s="1"/>
  <c r="G15" i="3" s="1"/>
  <c r="E15" i="2"/>
  <c r="R15" i="3" s="1"/>
  <c r="E15" i="3" s="1"/>
  <c r="G11" i="2"/>
  <c r="T11" i="3" s="1"/>
  <c r="G11" i="3" s="1"/>
  <c r="F11" i="2"/>
  <c r="S11" i="3" s="1"/>
  <c r="F11" i="3" s="1"/>
  <c r="E11" i="2"/>
  <c r="R11" i="3" s="1"/>
  <c r="E11" i="3" s="1"/>
  <c r="D11" i="2"/>
  <c r="Q11" i="3" s="1"/>
  <c r="D11" i="3" s="1"/>
  <c r="G7" i="2"/>
  <c r="T7" i="3" s="1"/>
  <c r="G7" i="3" s="1"/>
  <c r="F7" i="2"/>
  <c r="S7" i="3" s="1"/>
  <c r="F7" i="3" s="1"/>
  <c r="E7" i="2"/>
  <c r="R7" i="3" s="1"/>
  <c r="E7" i="3" s="1"/>
  <c r="C179" i="2"/>
  <c r="P179" i="3" s="1"/>
  <c r="C179" i="3" s="1"/>
  <c r="C163" i="2"/>
  <c r="P163" i="3" s="1"/>
  <c r="C163" i="3" s="1"/>
  <c r="C147" i="2"/>
  <c r="P147" i="3" s="1"/>
  <c r="C147" i="3" s="1"/>
  <c r="C131" i="2"/>
  <c r="P131" i="3" s="1"/>
  <c r="C131" i="3" s="1"/>
  <c r="C115" i="2"/>
  <c r="P115" i="3" s="1"/>
  <c r="C115" i="3" s="1"/>
  <c r="C99" i="2"/>
  <c r="P99" i="3" s="1"/>
  <c r="C99" i="3" s="1"/>
  <c r="C83" i="2"/>
  <c r="P83" i="3" s="1"/>
  <c r="C83" i="3" s="1"/>
  <c r="C67" i="2"/>
  <c r="P67" i="3" s="1"/>
  <c r="C67" i="3" s="1"/>
  <c r="C51" i="2"/>
  <c r="P51" i="3" s="1"/>
  <c r="C51" i="3" s="1"/>
  <c r="C35" i="2"/>
  <c r="P35" i="3" s="1"/>
  <c r="C35" i="3" s="1"/>
  <c r="C19" i="2"/>
  <c r="P19" i="3" s="1"/>
  <c r="C19" i="3" s="1"/>
  <c r="D171" i="2"/>
  <c r="Q171" i="3" s="1"/>
  <c r="D171" i="3" s="1"/>
  <c r="D155" i="2"/>
  <c r="Q155" i="3" s="1"/>
  <c r="D155" i="3" s="1"/>
  <c r="D139" i="2"/>
  <c r="Q139" i="3" s="1"/>
  <c r="D139" i="3" s="1"/>
  <c r="D123" i="2"/>
  <c r="Q123" i="3" s="1"/>
  <c r="D123" i="3" s="1"/>
  <c r="D107" i="2"/>
  <c r="Q107" i="3" s="1"/>
  <c r="D107" i="3" s="1"/>
  <c r="D91" i="2"/>
  <c r="Q91" i="3" s="1"/>
  <c r="D91" i="3" s="1"/>
  <c r="D75" i="2"/>
  <c r="Q75" i="3" s="1"/>
  <c r="D75" i="3" s="1"/>
  <c r="D59" i="2"/>
  <c r="Q59" i="3" s="1"/>
  <c r="D59" i="3" s="1"/>
  <c r="D43" i="2"/>
  <c r="Q43" i="3" s="1"/>
  <c r="D43" i="3" s="1"/>
  <c r="D27" i="2"/>
  <c r="Q27" i="3" s="1"/>
  <c r="D27" i="3" s="1"/>
  <c r="D15" i="2"/>
  <c r="Q15" i="3" s="1"/>
  <c r="D15" i="3" s="1"/>
  <c r="C183" i="2"/>
  <c r="P183" i="3" s="1"/>
  <c r="C183" i="3" s="1"/>
  <c r="C167" i="2"/>
  <c r="P167" i="3" s="1"/>
  <c r="C167" i="3" s="1"/>
  <c r="C151" i="2"/>
  <c r="P151" i="3" s="1"/>
  <c r="C151" i="3" s="1"/>
  <c r="C135" i="2"/>
  <c r="P135" i="3" s="1"/>
  <c r="C135" i="3" s="1"/>
  <c r="C119" i="2"/>
  <c r="P119" i="3" s="1"/>
  <c r="C119" i="3" s="1"/>
  <c r="C103" i="2"/>
  <c r="P103" i="3" s="1"/>
  <c r="C103" i="3" s="1"/>
  <c r="C87" i="2"/>
  <c r="P87" i="3" s="1"/>
  <c r="C87" i="3" s="1"/>
  <c r="C71" i="2"/>
  <c r="P71" i="3" s="1"/>
  <c r="C71" i="3" s="1"/>
  <c r="C55" i="2"/>
  <c r="P55" i="3" s="1"/>
  <c r="C55" i="3" s="1"/>
  <c r="C39" i="2"/>
  <c r="P39" i="3" s="1"/>
  <c r="C39" i="3" s="1"/>
  <c r="C23" i="2"/>
  <c r="P23" i="3" s="1"/>
  <c r="C23" i="3" s="1"/>
  <c r="C7" i="2"/>
  <c r="P7" i="3" s="1"/>
  <c r="C7" i="3" s="1"/>
  <c r="D175" i="2"/>
  <c r="Q175" i="3" s="1"/>
  <c r="D175" i="3" s="1"/>
  <c r="D159" i="2"/>
  <c r="Q159" i="3" s="1"/>
  <c r="D159" i="3" s="1"/>
  <c r="D143" i="2"/>
  <c r="Q143" i="3" s="1"/>
  <c r="D143" i="3" s="1"/>
  <c r="D127" i="2"/>
  <c r="Q127" i="3" s="1"/>
  <c r="D127" i="3" s="1"/>
  <c r="D111" i="2"/>
  <c r="Q111" i="3" s="1"/>
  <c r="D111" i="3" s="1"/>
  <c r="D95" i="2"/>
  <c r="Q95" i="3" s="1"/>
  <c r="D95" i="3" s="1"/>
  <c r="D79" i="2"/>
  <c r="Q79" i="3" s="1"/>
  <c r="D79" i="3" s="1"/>
  <c r="D63" i="2"/>
  <c r="Q63" i="3" s="1"/>
  <c r="D63" i="3" s="1"/>
  <c r="D47" i="2"/>
  <c r="Q47" i="3" s="1"/>
  <c r="D47" i="3" s="1"/>
  <c r="D31" i="2"/>
  <c r="Q31" i="3" s="1"/>
  <c r="D31" i="3" s="1"/>
  <c r="D7" i="2"/>
  <c r="Q7" i="3" s="1"/>
  <c r="D7" i="3" s="1"/>
  <c r="C171" i="2"/>
  <c r="P171" i="3" s="1"/>
  <c r="C171" i="3" s="1"/>
  <c r="C155" i="2"/>
  <c r="P155" i="3" s="1"/>
  <c r="C155" i="3" s="1"/>
  <c r="C139" i="2"/>
  <c r="P139" i="3" s="1"/>
  <c r="C139" i="3" s="1"/>
  <c r="C123" i="2"/>
  <c r="P123" i="3" s="1"/>
  <c r="C123" i="3" s="1"/>
  <c r="C107" i="2"/>
  <c r="P107" i="3" s="1"/>
  <c r="C107" i="3" s="1"/>
  <c r="C91" i="2"/>
  <c r="P91" i="3" s="1"/>
  <c r="C91" i="3" s="1"/>
  <c r="C75" i="2"/>
  <c r="P75" i="3" s="1"/>
  <c r="C75" i="3" s="1"/>
  <c r="C59" i="2"/>
  <c r="P59" i="3" s="1"/>
  <c r="C59" i="3" s="1"/>
  <c r="C43" i="2"/>
  <c r="P43" i="3" s="1"/>
  <c r="C43" i="3" s="1"/>
  <c r="C27" i="2"/>
  <c r="P27" i="3" s="1"/>
  <c r="C27" i="3" s="1"/>
  <c r="C11" i="2"/>
  <c r="P11" i="3" s="1"/>
  <c r="C11" i="3" s="1"/>
  <c r="D179" i="2"/>
  <c r="Q179" i="3" s="1"/>
  <c r="D179" i="3" s="1"/>
  <c r="D163" i="2"/>
  <c r="Q163" i="3" s="1"/>
  <c r="D163" i="3" s="1"/>
  <c r="D147" i="2"/>
  <c r="Q147" i="3" s="1"/>
  <c r="D147" i="3" s="1"/>
  <c r="D131" i="2"/>
  <c r="Q131" i="3" s="1"/>
  <c r="D131" i="3" s="1"/>
  <c r="D115" i="2"/>
  <c r="Q115" i="3" s="1"/>
  <c r="D115" i="3" s="1"/>
  <c r="D99" i="2"/>
  <c r="Q99" i="3" s="1"/>
  <c r="D99" i="3" s="1"/>
  <c r="D83" i="2"/>
  <c r="Q83" i="3" s="1"/>
  <c r="D83" i="3" s="1"/>
  <c r="D67" i="2"/>
  <c r="Q67" i="3" s="1"/>
  <c r="D67" i="3" s="1"/>
  <c r="D51" i="2"/>
  <c r="Q51" i="3" s="1"/>
  <c r="D51" i="3" s="1"/>
  <c r="D35" i="2"/>
  <c r="Q35" i="3" s="1"/>
  <c r="D35" i="3" s="1"/>
  <c r="D19" i="2"/>
  <c r="Q19" i="3" s="1"/>
  <c r="D19" i="3" s="1"/>
  <c r="C175" i="2"/>
  <c r="P175" i="3" s="1"/>
  <c r="C175" i="3" s="1"/>
  <c r="C159" i="2"/>
  <c r="P159" i="3" s="1"/>
  <c r="C159" i="3" s="1"/>
  <c r="C143" i="2"/>
  <c r="P143" i="3" s="1"/>
  <c r="C143" i="3" s="1"/>
  <c r="C127" i="2"/>
  <c r="P127" i="3" s="1"/>
  <c r="C127" i="3" s="1"/>
  <c r="C111" i="2"/>
  <c r="P111" i="3" s="1"/>
  <c r="C111" i="3" s="1"/>
  <c r="C95" i="2"/>
  <c r="P95" i="3" s="1"/>
  <c r="C95" i="3" s="1"/>
  <c r="C79" i="2"/>
  <c r="P79" i="3" s="1"/>
  <c r="C79" i="3" s="1"/>
  <c r="C63" i="2"/>
  <c r="P63" i="3" s="1"/>
  <c r="C63" i="3" s="1"/>
  <c r="C47" i="2"/>
  <c r="P47" i="3" s="1"/>
  <c r="C47" i="3" s="1"/>
  <c r="C31" i="2"/>
  <c r="P31" i="3" s="1"/>
  <c r="C31" i="3" s="1"/>
  <c r="C15" i="2"/>
  <c r="P15" i="3" s="1"/>
  <c r="C15" i="3" s="1"/>
  <c r="D183" i="2"/>
  <c r="Q183" i="3" s="1"/>
  <c r="D183" i="3" s="1"/>
  <c r="D167" i="2"/>
  <c r="Q167" i="3" s="1"/>
  <c r="D167" i="3" s="1"/>
  <c r="D151" i="2"/>
  <c r="Q151" i="3" s="1"/>
  <c r="D151" i="3" s="1"/>
  <c r="D135" i="2"/>
  <c r="Q135" i="3" s="1"/>
  <c r="D135" i="3" s="1"/>
  <c r="D119" i="2"/>
  <c r="Q119" i="3" s="1"/>
  <c r="D119" i="3" s="1"/>
  <c r="D103" i="2"/>
  <c r="Q103" i="3" s="1"/>
  <c r="D103" i="3" s="1"/>
  <c r="D87" i="2"/>
  <c r="Q87" i="3" s="1"/>
  <c r="D87" i="3" s="1"/>
  <c r="D71" i="2"/>
  <c r="Q71" i="3" s="1"/>
  <c r="D71" i="3" s="1"/>
  <c r="D55" i="2"/>
  <c r="Q55" i="3" s="1"/>
  <c r="D55" i="3" s="1"/>
  <c r="D39" i="2"/>
  <c r="Q39" i="3" s="1"/>
  <c r="D39" i="3" s="1"/>
  <c r="D23" i="2"/>
  <c r="Q23" i="3" s="1"/>
  <c r="D23" i="3" s="1"/>
  <c r="D335" i="1"/>
  <c r="C335" i="1"/>
  <c r="B335" i="1"/>
  <c r="D307" i="1"/>
  <c r="C307" i="1"/>
  <c r="B307" i="1"/>
  <c r="D291" i="1"/>
  <c r="C291" i="1"/>
  <c r="B291" i="1"/>
  <c r="D283" i="1"/>
  <c r="C283" i="1"/>
  <c r="B283" i="1"/>
  <c r="D267" i="1"/>
  <c r="C267" i="1"/>
  <c r="B267" i="1"/>
  <c r="D247" i="1"/>
  <c r="C247" i="1"/>
  <c r="B247" i="1"/>
  <c r="D227" i="1"/>
  <c r="C227" i="1"/>
  <c r="B227" i="1"/>
  <c r="D215" i="1"/>
  <c r="C215" i="1"/>
  <c r="B215" i="1"/>
  <c r="D199" i="1"/>
  <c r="C199" i="1"/>
  <c r="B199" i="1"/>
  <c r="D179" i="1"/>
  <c r="C179" i="1"/>
  <c r="B179" i="1"/>
  <c r="D167" i="1"/>
  <c r="C167" i="1"/>
  <c r="B167" i="1"/>
  <c r="D155" i="1"/>
  <c r="C155" i="1"/>
  <c r="B155" i="1"/>
  <c r="D139" i="1"/>
  <c r="C139" i="1"/>
  <c r="B139" i="1"/>
  <c r="D103" i="1"/>
  <c r="C103" i="1"/>
  <c r="B103" i="1"/>
  <c r="D6" i="1"/>
  <c r="C6" i="1"/>
  <c r="D327" i="1"/>
  <c r="C327" i="1"/>
  <c r="B327" i="1"/>
  <c r="D315" i="1"/>
  <c r="C315" i="1"/>
  <c r="B315" i="1"/>
  <c r="D299" i="1"/>
  <c r="C299" i="1"/>
  <c r="B299" i="1"/>
  <c r="D279" i="1"/>
  <c r="C279" i="1"/>
  <c r="B279" i="1"/>
  <c r="D263" i="1"/>
  <c r="C263" i="1"/>
  <c r="B263" i="1"/>
  <c r="D251" i="1"/>
  <c r="C251" i="1"/>
  <c r="B251" i="1"/>
  <c r="D231" i="1"/>
  <c r="C231" i="1"/>
  <c r="B231" i="1"/>
  <c r="D223" i="1"/>
  <c r="C223" i="1"/>
  <c r="B223" i="1"/>
  <c r="D211" i="1"/>
  <c r="C211" i="1"/>
  <c r="B211" i="1"/>
  <c r="D203" i="1"/>
  <c r="C203" i="1"/>
  <c r="B203" i="1"/>
  <c r="D187" i="1"/>
  <c r="C187" i="1"/>
  <c r="B187" i="1"/>
  <c r="D175" i="1"/>
  <c r="C175" i="1"/>
  <c r="B175" i="1"/>
  <c r="D163" i="1"/>
  <c r="C163" i="1"/>
  <c r="B163" i="1"/>
  <c r="D151" i="1"/>
  <c r="C151" i="1"/>
  <c r="B151" i="1"/>
  <c r="D143" i="1"/>
  <c r="C143" i="1"/>
  <c r="B143" i="1"/>
  <c r="D131" i="1"/>
  <c r="C131" i="1"/>
  <c r="B131" i="1"/>
  <c r="D123" i="1"/>
  <c r="C123" i="1"/>
  <c r="B123" i="1"/>
  <c r="D115" i="1"/>
  <c r="C115" i="1"/>
  <c r="B115" i="1"/>
  <c r="D107" i="1"/>
  <c r="C107" i="1"/>
  <c r="B107" i="1"/>
  <c r="D95" i="1"/>
  <c r="C95" i="1"/>
  <c r="B95" i="1"/>
  <c r="D87" i="1"/>
  <c r="C87" i="1"/>
  <c r="B87" i="1"/>
  <c r="D79" i="1"/>
  <c r="C79" i="1"/>
  <c r="B79" i="1"/>
  <c r="D71" i="1"/>
  <c r="C71" i="1"/>
  <c r="B71" i="1"/>
  <c r="D63" i="1"/>
  <c r="B63" i="1"/>
  <c r="C63" i="1"/>
  <c r="D55" i="1"/>
  <c r="C55" i="1"/>
  <c r="B55" i="1"/>
  <c r="D47" i="1"/>
  <c r="B47" i="1"/>
  <c r="C47" i="1"/>
  <c r="D39" i="1"/>
  <c r="C39" i="1"/>
  <c r="B39" i="1"/>
  <c r="C31" i="1"/>
  <c r="D31" i="1"/>
  <c r="B31" i="1"/>
  <c r="C19" i="1"/>
  <c r="D19" i="1"/>
  <c r="B19" i="1"/>
  <c r="C15" i="1"/>
  <c r="D15" i="1"/>
  <c r="B15" i="1"/>
  <c r="D7" i="1"/>
  <c r="C7" i="1"/>
  <c r="B7" i="1"/>
  <c r="C326" i="1"/>
  <c r="D326" i="1"/>
  <c r="C314" i="1"/>
  <c r="D314" i="1"/>
  <c r="D302" i="1"/>
  <c r="C302" i="1"/>
  <c r="D286" i="1"/>
  <c r="C286" i="1"/>
  <c r="D274" i="1"/>
  <c r="C274" i="1"/>
  <c r="D262" i="1"/>
  <c r="C262" i="1"/>
  <c r="D250" i="1"/>
  <c r="C250" i="1"/>
  <c r="D242" i="1"/>
  <c r="C242" i="1"/>
  <c r="D230" i="1"/>
  <c r="C230" i="1"/>
  <c r="D218" i="1"/>
  <c r="C218" i="1"/>
  <c r="D206" i="1"/>
  <c r="C206" i="1"/>
  <c r="D194" i="1"/>
  <c r="C194" i="1"/>
  <c r="D182" i="1"/>
  <c r="C182" i="1"/>
  <c r="D170" i="1"/>
  <c r="C170" i="1"/>
  <c r="D158" i="1"/>
  <c r="C158" i="1"/>
  <c r="D146" i="1"/>
  <c r="C146" i="1"/>
  <c r="D130" i="1"/>
  <c r="C130" i="1"/>
  <c r="D118" i="1"/>
  <c r="C118" i="1"/>
  <c r="D106" i="1"/>
  <c r="C106" i="1"/>
  <c r="B106" i="1"/>
  <c r="D90" i="1"/>
  <c r="C90" i="1"/>
  <c r="B90" i="1"/>
  <c r="D78" i="1"/>
  <c r="C78" i="1"/>
  <c r="B78" i="1"/>
  <c r="D70" i="1"/>
  <c r="C70" i="1"/>
  <c r="B70" i="1"/>
  <c r="D66" i="1"/>
  <c r="C66" i="1"/>
  <c r="B66" i="1"/>
  <c r="D62" i="1"/>
  <c r="C62" i="1"/>
  <c r="B62" i="1"/>
  <c r="D54" i="1"/>
  <c r="C54" i="1"/>
  <c r="B54" i="1"/>
  <c r="D50" i="1"/>
  <c r="C50" i="1"/>
  <c r="B50" i="1"/>
  <c r="D46" i="1"/>
  <c r="C46" i="1"/>
  <c r="B46" i="1"/>
  <c r="D42" i="1"/>
  <c r="C42" i="1"/>
  <c r="B42" i="1"/>
  <c r="D38" i="1"/>
  <c r="C38" i="1"/>
  <c r="B38" i="1"/>
  <c r="D34" i="1"/>
  <c r="C34" i="1"/>
  <c r="B34" i="1"/>
  <c r="D30" i="1"/>
  <c r="C30" i="1"/>
  <c r="B30" i="1"/>
  <c r="D26" i="1"/>
  <c r="C26" i="1"/>
  <c r="B26" i="1"/>
  <c r="D22" i="1"/>
  <c r="C22" i="1"/>
  <c r="B22" i="1"/>
  <c r="D18" i="1"/>
  <c r="C18" i="1"/>
  <c r="B18" i="1"/>
  <c r="D14" i="1"/>
  <c r="C14" i="1"/>
  <c r="B14" i="1"/>
  <c r="D10" i="1"/>
  <c r="C10" i="1"/>
  <c r="B10" i="1"/>
  <c r="B6" i="1"/>
  <c r="B314" i="1"/>
  <c r="B250" i="1"/>
  <c r="B218" i="1"/>
  <c r="B182" i="1"/>
  <c r="B158" i="1"/>
  <c r="B118" i="1"/>
  <c r="D323" i="1"/>
  <c r="C323" i="1"/>
  <c r="B323" i="1"/>
  <c r="D311" i="1"/>
  <c r="C311" i="1"/>
  <c r="B311" i="1"/>
  <c r="D295" i="1"/>
  <c r="C295" i="1"/>
  <c r="B295" i="1"/>
  <c r="D271" i="1"/>
  <c r="C271" i="1"/>
  <c r="B271" i="1"/>
  <c r="D255" i="1"/>
  <c r="C255" i="1"/>
  <c r="B255" i="1"/>
  <c r="D243" i="1"/>
  <c r="C243" i="1"/>
  <c r="B243" i="1"/>
  <c r="D235" i="1"/>
  <c r="C235" i="1"/>
  <c r="B235" i="1"/>
  <c r="D219" i="1"/>
  <c r="C219" i="1"/>
  <c r="B219" i="1"/>
  <c r="D207" i="1"/>
  <c r="C207" i="1"/>
  <c r="B207" i="1"/>
  <c r="D191" i="1"/>
  <c r="C191" i="1"/>
  <c r="B191" i="1"/>
  <c r="D183" i="1"/>
  <c r="C183" i="1"/>
  <c r="B183" i="1"/>
  <c r="D171" i="1"/>
  <c r="C171" i="1"/>
  <c r="B171" i="1"/>
  <c r="D159" i="1"/>
  <c r="C159" i="1"/>
  <c r="B159" i="1"/>
  <c r="D147" i="1"/>
  <c r="C147" i="1"/>
  <c r="B147" i="1"/>
  <c r="D135" i="1"/>
  <c r="C135" i="1"/>
  <c r="B135" i="1"/>
  <c r="D127" i="1"/>
  <c r="C127" i="1"/>
  <c r="B127" i="1"/>
  <c r="D119" i="1"/>
  <c r="C119" i="1"/>
  <c r="B119" i="1"/>
  <c r="D111" i="1"/>
  <c r="C111" i="1"/>
  <c r="B111" i="1"/>
  <c r="D99" i="1"/>
  <c r="C99" i="1"/>
  <c r="B99" i="1"/>
  <c r="D91" i="1"/>
  <c r="C91" i="1"/>
  <c r="B91" i="1"/>
  <c r="D83" i="1"/>
  <c r="C83" i="1"/>
  <c r="B83" i="1"/>
  <c r="D75" i="1"/>
  <c r="C75" i="1"/>
  <c r="B75" i="1"/>
  <c r="D67" i="1"/>
  <c r="C67" i="1"/>
  <c r="B67" i="1"/>
  <c r="D59" i="1"/>
  <c r="B59" i="1"/>
  <c r="C59" i="1"/>
  <c r="D51" i="1"/>
  <c r="C51" i="1"/>
  <c r="B51" i="1"/>
  <c r="C43" i="1"/>
  <c r="D43" i="1"/>
  <c r="B43" i="1"/>
  <c r="C35" i="1"/>
  <c r="D35" i="1"/>
  <c r="B35" i="1"/>
  <c r="C27" i="1"/>
  <c r="D27" i="1"/>
  <c r="B27" i="1"/>
  <c r="D23" i="1"/>
  <c r="C23" i="1"/>
  <c r="B23" i="1"/>
  <c r="C11" i="1"/>
  <c r="D11" i="1"/>
  <c r="B11" i="1"/>
  <c r="C334" i="1"/>
  <c r="D334" i="1"/>
  <c r="C318" i="1"/>
  <c r="D318" i="1"/>
  <c r="D306" i="1"/>
  <c r="C306" i="1"/>
  <c r="D294" i="1"/>
  <c r="C294" i="1"/>
  <c r="D278" i="1"/>
  <c r="C278" i="1"/>
  <c r="D266" i="1"/>
  <c r="C266" i="1"/>
  <c r="D254" i="1"/>
  <c r="C254" i="1"/>
  <c r="D234" i="1"/>
  <c r="C234" i="1"/>
  <c r="D222" i="1"/>
  <c r="C222" i="1"/>
  <c r="D210" i="1"/>
  <c r="C210" i="1"/>
  <c r="D198" i="1"/>
  <c r="C198" i="1"/>
  <c r="D186" i="1"/>
  <c r="C186" i="1"/>
  <c r="D174" i="1"/>
  <c r="C174" i="1"/>
  <c r="D162" i="1"/>
  <c r="C162" i="1"/>
  <c r="D150" i="1"/>
  <c r="C150" i="1"/>
  <c r="D138" i="1"/>
  <c r="C138" i="1"/>
  <c r="D126" i="1"/>
  <c r="C126" i="1"/>
  <c r="D114" i="1"/>
  <c r="C114" i="1"/>
  <c r="D102" i="1"/>
  <c r="C102" i="1"/>
  <c r="B102" i="1"/>
  <c r="D82" i="1"/>
  <c r="C82" i="1"/>
  <c r="B82" i="1"/>
  <c r="C333" i="1"/>
  <c r="D333" i="1"/>
  <c r="D325" i="1"/>
  <c r="C325" i="1"/>
  <c r="D317" i="1"/>
  <c r="C317" i="1"/>
  <c r="D301" i="1"/>
  <c r="C301" i="1"/>
  <c r="D237" i="1"/>
  <c r="C237" i="1"/>
  <c r="B318" i="1"/>
  <c r="B286" i="1"/>
  <c r="B254" i="1"/>
  <c r="B222" i="1"/>
  <c r="D331" i="1"/>
  <c r="C331" i="1"/>
  <c r="B331" i="1"/>
  <c r="D319" i="1"/>
  <c r="C319" i="1"/>
  <c r="B319" i="1"/>
  <c r="D303" i="1"/>
  <c r="C303" i="1"/>
  <c r="B303" i="1"/>
  <c r="D287" i="1"/>
  <c r="C287" i="1"/>
  <c r="B287" i="1"/>
  <c r="D275" i="1"/>
  <c r="C275" i="1"/>
  <c r="B275" i="1"/>
  <c r="D259" i="1"/>
  <c r="C259" i="1"/>
  <c r="B259" i="1"/>
  <c r="D239" i="1"/>
  <c r="C239" i="1"/>
  <c r="B239" i="1"/>
  <c r="D195" i="1"/>
  <c r="C195" i="1"/>
  <c r="B195" i="1"/>
  <c r="C330" i="1"/>
  <c r="D330" i="1"/>
  <c r="C322" i="1"/>
  <c r="D322" i="1"/>
  <c r="D310" i="1"/>
  <c r="C310" i="1"/>
  <c r="D298" i="1"/>
  <c r="C298" i="1"/>
  <c r="D290" i="1"/>
  <c r="C290" i="1"/>
  <c r="D282" i="1"/>
  <c r="C282" i="1"/>
  <c r="D270" i="1"/>
  <c r="C270" i="1"/>
  <c r="D258" i="1"/>
  <c r="C258" i="1"/>
  <c r="D246" i="1"/>
  <c r="C246" i="1"/>
  <c r="D238" i="1"/>
  <c r="C238" i="1"/>
  <c r="D226" i="1"/>
  <c r="C226" i="1"/>
  <c r="D214" i="1"/>
  <c r="C214" i="1"/>
  <c r="D202" i="1"/>
  <c r="C202" i="1"/>
  <c r="D190" i="1"/>
  <c r="C190" i="1"/>
  <c r="D178" i="1"/>
  <c r="C178" i="1"/>
  <c r="D166" i="1"/>
  <c r="C166" i="1"/>
  <c r="D154" i="1"/>
  <c r="C154" i="1"/>
  <c r="D142" i="1"/>
  <c r="C142" i="1"/>
  <c r="D134" i="1"/>
  <c r="C134" i="1"/>
  <c r="D122" i="1"/>
  <c r="C122" i="1"/>
  <c r="D110" i="1"/>
  <c r="C110" i="1"/>
  <c r="B110" i="1"/>
  <c r="D98" i="1"/>
  <c r="C98" i="1"/>
  <c r="B98" i="1"/>
  <c r="D94" i="1"/>
  <c r="C94" i="1"/>
  <c r="B94" i="1"/>
  <c r="D86" i="1"/>
  <c r="C86" i="1"/>
  <c r="B86" i="1"/>
  <c r="D74" i="1"/>
  <c r="C74" i="1"/>
  <c r="B74" i="1"/>
  <c r="D58" i="1"/>
  <c r="C58" i="1"/>
  <c r="B58" i="1"/>
  <c r="B298" i="1"/>
  <c r="D329" i="1"/>
  <c r="C329" i="1"/>
  <c r="D321" i="1"/>
  <c r="C321" i="1"/>
  <c r="D313" i="1"/>
  <c r="C313" i="1"/>
  <c r="D309" i="1"/>
  <c r="C309" i="1"/>
  <c r="D305" i="1"/>
  <c r="C305" i="1"/>
  <c r="D297" i="1"/>
  <c r="C297" i="1"/>
  <c r="D293" i="1"/>
  <c r="C293" i="1"/>
  <c r="D289" i="1"/>
  <c r="C289" i="1"/>
  <c r="D285" i="1"/>
  <c r="C285" i="1"/>
  <c r="D281" i="1"/>
  <c r="C281" i="1"/>
  <c r="D277" i="1"/>
  <c r="C277" i="1"/>
  <c r="D273" i="1"/>
  <c r="C273" i="1"/>
  <c r="D269" i="1"/>
  <c r="C269" i="1"/>
  <c r="D265" i="1"/>
  <c r="C265" i="1"/>
  <c r="D261" i="1"/>
  <c r="C261" i="1"/>
  <c r="D257" i="1"/>
  <c r="C257" i="1"/>
  <c r="D253" i="1"/>
  <c r="C253" i="1"/>
  <c r="D249" i="1"/>
  <c r="C249" i="1"/>
  <c r="D245" i="1"/>
  <c r="C245" i="1"/>
  <c r="D241" i="1"/>
  <c r="C241" i="1"/>
  <c r="D233" i="1"/>
  <c r="C233" i="1"/>
  <c r="D229" i="1"/>
  <c r="C229" i="1"/>
  <c r="D225" i="1"/>
  <c r="C225" i="1"/>
  <c r="D221" i="1"/>
  <c r="C221" i="1"/>
  <c r="D217" i="1"/>
  <c r="C217" i="1"/>
  <c r="D213" i="1"/>
  <c r="C213" i="1"/>
  <c r="D209" i="1"/>
  <c r="C209" i="1"/>
  <c r="D205" i="1"/>
  <c r="C205" i="1"/>
  <c r="D201" i="1"/>
  <c r="C201" i="1"/>
  <c r="D197" i="1"/>
  <c r="C197" i="1"/>
  <c r="D193" i="1"/>
  <c r="C193" i="1"/>
  <c r="D189" i="1"/>
  <c r="C189" i="1"/>
  <c r="D185" i="1"/>
  <c r="C185" i="1"/>
  <c r="D181" i="1"/>
  <c r="C181" i="1"/>
  <c r="D177" i="1"/>
  <c r="C177" i="1"/>
  <c r="D173" i="1"/>
  <c r="C173" i="1"/>
  <c r="D169" i="1"/>
  <c r="C169" i="1"/>
  <c r="D165" i="1"/>
  <c r="C165" i="1"/>
  <c r="D161" i="1"/>
  <c r="C161" i="1"/>
  <c r="D157" i="1"/>
  <c r="C157" i="1"/>
  <c r="D153" i="1"/>
  <c r="C153" i="1"/>
  <c r="D149" i="1"/>
  <c r="C149" i="1"/>
  <c r="D145" i="1"/>
  <c r="C145" i="1"/>
  <c r="D141" i="1"/>
  <c r="C141" i="1"/>
  <c r="D137" i="1"/>
  <c r="C137" i="1"/>
  <c r="D133" i="1"/>
  <c r="C133" i="1"/>
  <c r="D129" i="1"/>
  <c r="C129" i="1"/>
  <c r="D125" i="1"/>
  <c r="C125" i="1"/>
  <c r="B334" i="1"/>
  <c r="B329" i="1"/>
  <c r="B302" i="1"/>
  <c r="B297" i="1"/>
  <c r="B270" i="1"/>
  <c r="B265" i="1"/>
  <c r="B238" i="1"/>
  <c r="B233" i="1"/>
  <c r="B206" i="1"/>
  <c r="B201" i="1"/>
  <c r="D332" i="1"/>
  <c r="C332" i="1"/>
  <c r="D328" i="1"/>
  <c r="C328" i="1"/>
  <c r="D324" i="1"/>
  <c r="C324" i="1"/>
  <c r="D320" i="1"/>
  <c r="C320" i="1"/>
  <c r="D316" i="1"/>
  <c r="C316" i="1"/>
  <c r="D312" i="1"/>
  <c r="C312" i="1"/>
  <c r="D308" i="1"/>
  <c r="C308" i="1"/>
  <c r="D304" i="1"/>
  <c r="C304" i="1"/>
  <c r="D300" i="1"/>
  <c r="C300" i="1"/>
  <c r="D296" i="1"/>
  <c r="C296" i="1"/>
  <c r="D292" i="1"/>
  <c r="C292" i="1"/>
  <c r="D288" i="1"/>
  <c r="C288" i="1"/>
  <c r="D284" i="1"/>
  <c r="C284" i="1"/>
  <c r="D280" i="1"/>
  <c r="C280" i="1"/>
  <c r="D276" i="1"/>
  <c r="C276" i="1"/>
  <c r="D272" i="1"/>
  <c r="C272" i="1"/>
  <c r="D268" i="1"/>
  <c r="C268" i="1"/>
  <c r="D264" i="1"/>
  <c r="C264" i="1"/>
  <c r="D260" i="1"/>
  <c r="C260" i="1"/>
  <c r="D256" i="1"/>
  <c r="C256" i="1"/>
  <c r="D252" i="1"/>
  <c r="C252" i="1"/>
  <c r="D248" i="1"/>
  <c r="C248" i="1"/>
  <c r="D244" i="1"/>
  <c r="C244" i="1"/>
  <c r="D240" i="1"/>
  <c r="C240" i="1"/>
  <c r="D236" i="1"/>
  <c r="C236" i="1"/>
  <c r="D232" i="1"/>
  <c r="C232" i="1"/>
  <c r="D228" i="1"/>
  <c r="C228" i="1"/>
  <c r="D224" i="1"/>
  <c r="C224" i="1"/>
  <c r="D220" i="1"/>
  <c r="C220" i="1"/>
  <c r="D216" i="1"/>
  <c r="C216" i="1"/>
  <c r="D212" i="1"/>
  <c r="C212" i="1"/>
  <c r="D208" i="1"/>
  <c r="C208" i="1"/>
  <c r="D204" i="1"/>
  <c r="C204" i="1"/>
  <c r="D200" i="1"/>
  <c r="C200" i="1"/>
  <c r="D196" i="1"/>
  <c r="C196" i="1"/>
  <c r="D192" i="1"/>
  <c r="B192" i="1"/>
  <c r="C192" i="1"/>
  <c r="D188" i="1"/>
  <c r="C188" i="1"/>
  <c r="B188" i="1"/>
  <c r="D184" i="1"/>
  <c r="B184" i="1"/>
  <c r="C184" i="1"/>
  <c r="D180" i="1"/>
  <c r="B180" i="1"/>
  <c r="C180" i="1"/>
  <c r="D176" i="1"/>
  <c r="B176" i="1"/>
  <c r="C176" i="1"/>
  <c r="D172" i="1"/>
  <c r="C172" i="1"/>
  <c r="B172" i="1"/>
  <c r="D168" i="1"/>
  <c r="B168" i="1"/>
  <c r="C168" i="1"/>
  <c r="D164" i="1"/>
  <c r="B164" i="1"/>
  <c r="C164" i="1"/>
  <c r="D160" i="1"/>
  <c r="B160" i="1"/>
  <c r="C160" i="1"/>
  <c r="D156" i="1"/>
  <c r="C156" i="1"/>
  <c r="B156" i="1"/>
  <c r="D152" i="1"/>
  <c r="B152" i="1"/>
  <c r="C152" i="1"/>
  <c r="D148" i="1"/>
  <c r="B148" i="1"/>
  <c r="C148" i="1"/>
  <c r="D144" i="1"/>
  <c r="B144" i="1"/>
  <c r="C144" i="1"/>
  <c r="D140" i="1"/>
  <c r="C140" i="1"/>
  <c r="B140" i="1"/>
  <c r="D136" i="1"/>
  <c r="B136" i="1"/>
  <c r="C136" i="1"/>
  <c r="D132" i="1"/>
  <c r="B132" i="1"/>
  <c r="C132" i="1"/>
  <c r="D128" i="1"/>
  <c r="B128" i="1"/>
  <c r="C128" i="1"/>
  <c r="D124" i="1"/>
  <c r="C124" i="1"/>
  <c r="B124" i="1"/>
  <c r="D120" i="1"/>
  <c r="B120" i="1"/>
  <c r="C120" i="1"/>
  <c r="D116" i="1"/>
  <c r="B116" i="1"/>
  <c r="C116" i="1"/>
  <c r="D112" i="1"/>
  <c r="B112" i="1"/>
  <c r="C112" i="1"/>
  <c r="D108" i="1"/>
  <c r="C108" i="1"/>
  <c r="B108" i="1"/>
  <c r="D104" i="1"/>
  <c r="B104" i="1"/>
  <c r="C104" i="1"/>
  <c r="D100" i="1"/>
  <c r="B100" i="1"/>
  <c r="C100" i="1"/>
  <c r="D96" i="1"/>
  <c r="B96" i="1"/>
  <c r="C96" i="1"/>
  <c r="D92" i="1"/>
  <c r="C92" i="1"/>
  <c r="B92" i="1"/>
  <c r="D88" i="1"/>
  <c r="B88" i="1"/>
  <c r="C88" i="1"/>
  <c r="D84" i="1"/>
  <c r="B84" i="1"/>
  <c r="C84" i="1"/>
  <c r="D80" i="1"/>
  <c r="B80" i="1"/>
  <c r="C80" i="1"/>
  <c r="D76" i="1"/>
  <c r="C76" i="1"/>
  <c r="B76" i="1"/>
  <c r="D72" i="1"/>
  <c r="B72" i="1"/>
  <c r="C72" i="1"/>
  <c r="D68" i="1"/>
  <c r="B68" i="1"/>
  <c r="C68" i="1"/>
  <c r="D64" i="1"/>
  <c r="B64" i="1"/>
  <c r="C64" i="1"/>
  <c r="D60" i="1"/>
  <c r="C60" i="1"/>
  <c r="B60" i="1"/>
  <c r="D56" i="1"/>
  <c r="C56" i="1"/>
  <c r="B56" i="1"/>
  <c r="D52" i="1"/>
  <c r="B52" i="1"/>
  <c r="C52" i="1"/>
  <c r="D48" i="1"/>
  <c r="B48" i="1"/>
  <c r="C48" i="1"/>
  <c r="D44" i="1"/>
  <c r="C44" i="1"/>
  <c r="B44" i="1"/>
  <c r="D40" i="1"/>
  <c r="C40" i="1"/>
  <c r="B40" i="1"/>
  <c r="D36" i="1"/>
  <c r="C36" i="1"/>
  <c r="B36" i="1"/>
  <c r="D32" i="1"/>
  <c r="B32" i="1"/>
  <c r="C32" i="1"/>
  <c r="D28" i="1"/>
  <c r="C28" i="1"/>
  <c r="B28" i="1"/>
  <c r="D24" i="1"/>
  <c r="C24" i="1"/>
  <c r="B24" i="1"/>
  <c r="D20" i="1"/>
  <c r="C20" i="1"/>
  <c r="B20" i="1"/>
  <c r="D16" i="1"/>
  <c r="B16" i="1"/>
  <c r="C16" i="1"/>
  <c r="D12" i="1"/>
  <c r="C12" i="1"/>
  <c r="B12" i="1"/>
  <c r="D8" i="1"/>
  <c r="C8" i="1"/>
  <c r="B8" i="1"/>
  <c r="B333" i="1"/>
  <c r="B328" i="1"/>
  <c r="B322" i="1"/>
  <c r="B317" i="1"/>
  <c r="B312" i="1"/>
  <c r="B306" i="1"/>
  <c r="B301" i="1"/>
  <c r="B296" i="1"/>
  <c r="B290" i="1"/>
  <c r="B285" i="1"/>
  <c r="B280" i="1"/>
  <c r="B274" i="1"/>
  <c r="B269" i="1"/>
  <c r="B264" i="1"/>
  <c r="B258" i="1"/>
  <c r="B253" i="1"/>
  <c r="B248" i="1"/>
  <c r="B242" i="1"/>
  <c r="B237" i="1"/>
  <c r="B232" i="1"/>
  <c r="B226" i="1"/>
  <c r="B221" i="1"/>
  <c r="B216" i="1"/>
  <c r="B210" i="1"/>
  <c r="B205" i="1"/>
  <c r="B200" i="1"/>
  <c r="B194" i="1"/>
  <c r="B186" i="1"/>
  <c r="B178" i="1"/>
  <c r="B170" i="1"/>
  <c r="B162" i="1"/>
  <c r="B154" i="1"/>
  <c r="B146" i="1"/>
  <c r="B138" i="1"/>
  <c r="B130" i="1"/>
  <c r="B122" i="1"/>
  <c r="B114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B65" i="1"/>
  <c r="D61" i="1"/>
  <c r="B61" i="1"/>
  <c r="D57" i="1"/>
  <c r="B57" i="1"/>
  <c r="D53" i="1"/>
  <c r="B53" i="1"/>
  <c r="D49" i="1"/>
  <c r="B49" i="1"/>
  <c r="D45" i="1"/>
  <c r="B45" i="1"/>
  <c r="D41" i="1"/>
  <c r="B41" i="1"/>
  <c r="D37" i="1"/>
  <c r="B37" i="1"/>
  <c r="D33" i="1"/>
  <c r="B33" i="1"/>
  <c r="D29" i="1"/>
  <c r="B29" i="1"/>
  <c r="D25" i="1"/>
  <c r="B25" i="1"/>
  <c r="D21" i="1"/>
  <c r="B21" i="1"/>
  <c r="D17" i="1"/>
  <c r="B17" i="1"/>
  <c r="D13" i="1"/>
  <c r="B13" i="1"/>
  <c r="D9" i="1"/>
  <c r="B9" i="1"/>
  <c r="C117" i="1"/>
  <c r="C101" i="1"/>
  <c r="C85" i="1"/>
  <c r="C69" i="1"/>
  <c r="C53" i="1"/>
  <c r="C41" i="1"/>
  <c r="C33" i="1"/>
  <c r="C25" i="1"/>
  <c r="C17" i="1"/>
  <c r="C9" i="1"/>
  <c r="C121" i="1"/>
  <c r="C105" i="1"/>
  <c r="C89" i="1"/>
  <c r="C73" i="1"/>
  <c r="C57" i="1"/>
  <c r="C109" i="1"/>
  <c r="C93" i="1"/>
  <c r="C77" i="1"/>
  <c r="C61" i="1"/>
  <c r="C45" i="1"/>
  <c r="C37" i="1"/>
  <c r="C29" i="1"/>
  <c r="C21" i="1"/>
  <c r="C13" i="1"/>
  <c r="C113" i="1"/>
  <c r="C97" i="1"/>
  <c r="C81" i="1"/>
  <c r="C65" i="1"/>
  <c r="C49" i="1"/>
  <c r="B1" i="10"/>
  <c r="A1" i="5" s="1"/>
  <c r="F104" i="5" l="1"/>
  <c r="Q251" i="3"/>
  <c r="D251" i="3" s="1"/>
  <c r="Q259" i="3"/>
  <c r="D259" i="3" s="1"/>
  <c r="B212" i="1"/>
  <c r="Q190" i="3"/>
  <c r="D190" i="3" s="1"/>
  <c r="S198" i="3"/>
  <c r="F198" i="3" s="1"/>
  <c r="G206" i="2"/>
  <c r="T206" i="3" s="1"/>
  <c r="G206" i="3" s="1"/>
  <c r="G214" i="2"/>
  <c r="T214" i="3" s="1"/>
  <c r="G214" i="3" s="1"/>
  <c r="G242" i="2"/>
  <c r="C250" i="2"/>
  <c r="P250" i="3" s="1"/>
  <c r="C250" i="3" s="1"/>
  <c r="C254" i="2"/>
  <c r="G262" i="2"/>
  <c r="T262" i="3" s="1"/>
  <c r="G262" i="3" s="1"/>
  <c r="G266" i="2"/>
  <c r="C274" i="2"/>
  <c r="R278" i="3"/>
  <c r="E278" i="3" s="1"/>
  <c r="G282" i="2"/>
  <c r="C290" i="2"/>
  <c r="R294" i="3"/>
  <c r="E294" i="3" s="1"/>
  <c r="G334" i="2"/>
  <c r="G187" i="2"/>
  <c r="C195" i="2"/>
  <c r="R199" i="3"/>
  <c r="E199" i="3" s="1"/>
  <c r="G203" i="2"/>
  <c r="C211" i="2"/>
  <c r="C215" i="2"/>
  <c r="C219" i="2"/>
  <c r="P219" i="3" s="1"/>
  <c r="C219" i="3" s="1"/>
  <c r="G227" i="2"/>
  <c r="G231" i="2"/>
  <c r="C243" i="2"/>
  <c r="P243" i="3" s="1"/>
  <c r="C243" i="3" s="1"/>
  <c r="C247" i="2"/>
  <c r="P247" i="3" s="1"/>
  <c r="C247" i="3" s="1"/>
  <c r="C251" i="2"/>
  <c r="C259" i="2"/>
  <c r="C267" i="2"/>
  <c r="G271" i="2"/>
  <c r="G279" i="2"/>
  <c r="T279" i="3" s="1"/>
  <c r="G279" i="3" s="1"/>
  <c r="C291" i="2"/>
  <c r="R307" i="3"/>
  <c r="E307" i="3" s="1"/>
  <c r="G315" i="2"/>
  <c r="C335" i="2"/>
  <c r="B224" i="1"/>
  <c r="B288" i="1"/>
  <c r="B324" i="1"/>
  <c r="B198" i="5"/>
  <c r="B214" i="5"/>
  <c r="B234" i="5"/>
  <c r="B250" i="5"/>
  <c r="B266" i="5"/>
  <c r="B282" i="5"/>
  <c r="B302" i="5"/>
  <c r="B318" i="5"/>
  <c r="B334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D335" i="2"/>
  <c r="B26" i="5"/>
  <c r="F224" i="5"/>
  <c r="P246" i="3"/>
  <c r="C246" i="3" s="1"/>
  <c r="G258" i="2"/>
  <c r="T258" i="3" s="1"/>
  <c r="G258" i="3" s="1"/>
  <c r="C266" i="2"/>
  <c r="C270" i="2"/>
  <c r="R274" i="3"/>
  <c r="E274" i="3" s="1"/>
  <c r="G278" i="2"/>
  <c r="C286" i="2"/>
  <c r="R290" i="3"/>
  <c r="E290" i="3" s="1"/>
  <c r="G294" i="2"/>
  <c r="G298" i="2"/>
  <c r="G302" i="2"/>
  <c r="G306" i="2"/>
  <c r="G310" i="2"/>
  <c r="G314" i="2"/>
  <c r="G318" i="2"/>
  <c r="G322" i="2"/>
  <c r="G330" i="2"/>
  <c r="C191" i="2"/>
  <c r="R195" i="3"/>
  <c r="E195" i="3" s="1"/>
  <c r="G199" i="2"/>
  <c r="C207" i="2"/>
  <c r="R211" i="3"/>
  <c r="E211" i="3" s="1"/>
  <c r="Q215" i="3"/>
  <c r="D215" i="3" s="1"/>
  <c r="G223" i="2"/>
  <c r="C231" i="2"/>
  <c r="C239" i="2"/>
  <c r="P239" i="3" s="1"/>
  <c r="C239" i="3" s="1"/>
  <c r="C255" i="2"/>
  <c r="G263" i="2"/>
  <c r="G267" i="2"/>
  <c r="Q275" i="3"/>
  <c r="D275" i="3" s="1"/>
  <c r="G275" i="2"/>
  <c r="T275" i="3" s="1"/>
  <c r="G275" i="3" s="1"/>
  <c r="C299" i="2"/>
  <c r="P299" i="3" s="1"/>
  <c r="C299" i="3" s="1"/>
  <c r="G307" i="2"/>
  <c r="C323" i="2"/>
  <c r="C331" i="2"/>
  <c r="G335" i="2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C230" i="2"/>
  <c r="C234" i="2"/>
  <c r="G234" i="2"/>
  <c r="C242" i="2"/>
  <c r="P242" i="3" s="1"/>
  <c r="C242" i="3" s="1"/>
  <c r="G254" i="2"/>
  <c r="T254" i="3" s="1"/>
  <c r="G254" i="3" s="1"/>
  <c r="C262" i="2"/>
  <c r="R270" i="3"/>
  <c r="E270" i="3" s="1"/>
  <c r="G274" i="2"/>
  <c r="C282" i="2"/>
  <c r="R286" i="3"/>
  <c r="E286" i="3" s="1"/>
  <c r="G290" i="2"/>
  <c r="C298" i="2"/>
  <c r="C302" i="2"/>
  <c r="C306" i="2"/>
  <c r="C310" i="2"/>
  <c r="C314" i="2"/>
  <c r="C318" i="2"/>
  <c r="C322" i="2"/>
  <c r="C326" i="2"/>
  <c r="G326" i="2"/>
  <c r="C334" i="2"/>
  <c r="P334" i="3" s="1"/>
  <c r="C334" i="3" s="1"/>
  <c r="C187" i="2"/>
  <c r="R191" i="3"/>
  <c r="E191" i="3" s="1"/>
  <c r="G195" i="2"/>
  <c r="C203" i="2"/>
  <c r="R207" i="3"/>
  <c r="E207" i="3" s="1"/>
  <c r="G219" i="2"/>
  <c r="C227" i="2"/>
  <c r="P227" i="3" s="1"/>
  <c r="C227" i="3" s="1"/>
  <c r="Q231" i="3"/>
  <c r="D231" i="3" s="1"/>
  <c r="G247" i="2"/>
  <c r="G251" i="2"/>
  <c r="G255" i="2"/>
  <c r="G259" i="2"/>
  <c r="Q267" i="3"/>
  <c r="D267" i="3" s="1"/>
  <c r="R271" i="3"/>
  <c r="E271" i="3" s="1"/>
  <c r="C275" i="2"/>
  <c r="C279" i="2"/>
  <c r="C287" i="2"/>
  <c r="G291" i="2"/>
  <c r="T291" i="3" s="1"/>
  <c r="G291" i="3" s="1"/>
  <c r="G299" i="2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S226" i="3"/>
  <c r="F226" i="3" s="1"/>
  <c r="R230" i="3"/>
  <c r="E230" i="3" s="1"/>
  <c r="S234" i="3"/>
  <c r="F234" i="3" s="1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P254" i="3"/>
  <c r="C254" i="3" s="1"/>
  <c r="P258" i="3"/>
  <c r="C258" i="3" s="1"/>
  <c r="P262" i="3"/>
  <c r="C262" i="3" s="1"/>
  <c r="P266" i="3"/>
  <c r="C266" i="3" s="1"/>
  <c r="T266" i="3"/>
  <c r="G266" i="3" s="1"/>
  <c r="T270" i="3"/>
  <c r="G270" i="3" s="1"/>
  <c r="T274" i="3"/>
  <c r="G274" i="3" s="1"/>
  <c r="T278" i="3"/>
  <c r="G278" i="3" s="1"/>
  <c r="T282" i="3"/>
  <c r="G282" i="3" s="1"/>
  <c r="T286" i="3"/>
  <c r="G286" i="3" s="1"/>
  <c r="T290" i="3"/>
  <c r="G290" i="3" s="1"/>
  <c r="T294" i="3"/>
  <c r="G294" i="3" s="1"/>
  <c r="R298" i="3"/>
  <c r="E298" i="3" s="1"/>
  <c r="R302" i="3"/>
  <c r="E302" i="3" s="1"/>
  <c r="R306" i="3"/>
  <c r="E306" i="3" s="1"/>
  <c r="R310" i="3"/>
  <c r="E310" i="3" s="1"/>
  <c r="R314" i="3"/>
  <c r="E314" i="3" s="1"/>
  <c r="R318" i="3"/>
  <c r="E318" i="3" s="1"/>
  <c r="R322" i="3"/>
  <c r="E322" i="3" s="1"/>
  <c r="S326" i="3"/>
  <c r="F326" i="3" s="1"/>
  <c r="D330" i="2"/>
  <c r="Q330" i="3" s="1"/>
  <c r="D330" i="3" s="1"/>
  <c r="D334" i="2"/>
  <c r="Q334" i="3" s="1"/>
  <c r="D334" i="3" s="1"/>
  <c r="T187" i="3"/>
  <c r="G187" i="3" s="1"/>
  <c r="T191" i="3"/>
  <c r="G191" i="3" s="1"/>
  <c r="T195" i="3"/>
  <c r="G195" i="3" s="1"/>
  <c r="T199" i="3"/>
  <c r="G199" i="3" s="1"/>
  <c r="T203" i="3"/>
  <c r="G203" i="3" s="1"/>
  <c r="T207" i="3"/>
  <c r="G207" i="3" s="1"/>
  <c r="S211" i="3"/>
  <c r="F211" i="3" s="1"/>
  <c r="R215" i="3"/>
  <c r="E215" i="3" s="1"/>
  <c r="R219" i="3"/>
  <c r="E219" i="3" s="1"/>
  <c r="R223" i="3"/>
  <c r="E223" i="3" s="1"/>
  <c r="R227" i="3"/>
  <c r="E227" i="3" s="1"/>
  <c r="R231" i="3"/>
  <c r="E231" i="3" s="1"/>
  <c r="R239" i="3"/>
  <c r="E239" i="3" s="1"/>
  <c r="R243" i="3"/>
  <c r="E243" i="3" s="1"/>
  <c r="D247" i="2"/>
  <c r="Q247" i="3" s="1"/>
  <c r="D247" i="3" s="1"/>
  <c r="P251" i="3"/>
  <c r="C251" i="3" s="1"/>
  <c r="R255" i="3"/>
  <c r="E255" i="3" s="1"/>
  <c r="P259" i="3"/>
  <c r="C259" i="3" s="1"/>
  <c r="D263" i="2"/>
  <c r="Q263" i="3" s="1"/>
  <c r="D263" i="3" s="1"/>
  <c r="R267" i="3"/>
  <c r="E267" i="3" s="1"/>
  <c r="D271" i="2"/>
  <c r="Q271" i="3" s="1"/>
  <c r="D271" i="3" s="1"/>
  <c r="P275" i="3"/>
  <c r="C275" i="3" s="1"/>
  <c r="P279" i="3"/>
  <c r="C279" i="3" s="1"/>
  <c r="D287" i="2"/>
  <c r="Q287" i="3" s="1"/>
  <c r="D287" i="3" s="1"/>
  <c r="D291" i="2"/>
  <c r="Q291" i="3" s="1"/>
  <c r="D291" i="3" s="1"/>
  <c r="S295" i="3"/>
  <c r="F295" i="3" s="1"/>
  <c r="T299" i="3"/>
  <c r="G299" i="3" s="1"/>
  <c r="T307" i="3"/>
  <c r="G307" i="3" s="1"/>
  <c r="T315" i="3"/>
  <c r="G315" i="3" s="1"/>
  <c r="T323" i="3"/>
  <c r="G323" i="3" s="1"/>
  <c r="T331" i="3"/>
  <c r="G331" i="3" s="1"/>
  <c r="T335" i="3"/>
  <c r="G335" i="3" s="1"/>
  <c r="R202" i="3"/>
  <c r="E202" i="3" s="1"/>
  <c r="R210" i="3"/>
  <c r="E210" i="3" s="1"/>
  <c r="T218" i="3"/>
  <c r="G218" i="3" s="1"/>
  <c r="T226" i="3"/>
  <c r="G226" i="3" s="1"/>
  <c r="T230" i="3"/>
  <c r="G230" i="3" s="1"/>
  <c r="R234" i="3"/>
  <c r="E234" i="3" s="1"/>
  <c r="R238" i="3"/>
  <c r="E238" i="3" s="1"/>
  <c r="R242" i="3"/>
  <c r="E242" i="3" s="1"/>
  <c r="R246" i="3"/>
  <c r="E246" i="3" s="1"/>
  <c r="S250" i="3"/>
  <c r="F250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P270" i="3"/>
  <c r="C270" i="3" s="1"/>
  <c r="P274" i="3"/>
  <c r="C274" i="3" s="1"/>
  <c r="P278" i="3"/>
  <c r="C278" i="3" s="1"/>
  <c r="P282" i="3"/>
  <c r="C282" i="3" s="1"/>
  <c r="P286" i="3"/>
  <c r="C286" i="3" s="1"/>
  <c r="P290" i="3"/>
  <c r="C290" i="3" s="1"/>
  <c r="P294" i="3"/>
  <c r="C294" i="3" s="1"/>
  <c r="P298" i="3"/>
  <c r="C298" i="3" s="1"/>
  <c r="T298" i="3"/>
  <c r="G298" i="3" s="1"/>
  <c r="T302" i="3"/>
  <c r="G302" i="3" s="1"/>
  <c r="T306" i="3"/>
  <c r="G306" i="3" s="1"/>
  <c r="T310" i="3"/>
  <c r="G310" i="3" s="1"/>
  <c r="T314" i="3"/>
  <c r="G314" i="3" s="1"/>
  <c r="T318" i="3"/>
  <c r="G318" i="3" s="1"/>
  <c r="T322" i="3"/>
  <c r="G322" i="3" s="1"/>
  <c r="R326" i="3"/>
  <c r="E326" i="3" s="1"/>
  <c r="R330" i="3"/>
  <c r="E330" i="3" s="1"/>
  <c r="R334" i="3"/>
  <c r="E334" i="3" s="1"/>
  <c r="D187" i="2"/>
  <c r="Q187" i="3" s="1"/>
  <c r="D187" i="3" s="1"/>
  <c r="D191" i="2"/>
  <c r="Q191" i="3" s="1"/>
  <c r="D191" i="3" s="1"/>
  <c r="P195" i="3"/>
  <c r="C195" i="3" s="1"/>
  <c r="P199" i="3"/>
  <c r="C199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T219" i="3"/>
  <c r="G219" i="3" s="1"/>
  <c r="T223" i="3"/>
  <c r="G223" i="3" s="1"/>
  <c r="T227" i="3"/>
  <c r="G227" i="3" s="1"/>
  <c r="T231" i="3"/>
  <c r="G231" i="3" s="1"/>
  <c r="T239" i="3"/>
  <c r="G239" i="3" s="1"/>
  <c r="S243" i="3"/>
  <c r="F243" i="3" s="1"/>
  <c r="R247" i="3"/>
  <c r="E247" i="3" s="1"/>
  <c r="R251" i="3"/>
  <c r="E251" i="3" s="1"/>
  <c r="P255" i="3"/>
  <c r="C255" i="3" s="1"/>
  <c r="R259" i="3"/>
  <c r="E259" i="3" s="1"/>
  <c r="R263" i="3"/>
  <c r="E263" i="3" s="1"/>
  <c r="P267" i="3"/>
  <c r="C267" i="3" s="1"/>
  <c r="P271" i="3"/>
  <c r="C271" i="3" s="1"/>
  <c r="R275" i="3"/>
  <c r="E275" i="3" s="1"/>
  <c r="D279" i="2"/>
  <c r="Q279" i="3" s="1"/>
  <c r="D279" i="3" s="1"/>
  <c r="R287" i="3"/>
  <c r="E287" i="3" s="1"/>
  <c r="P291" i="3"/>
  <c r="C291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D331" i="2"/>
  <c r="Q331" i="3" s="1"/>
  <c r="D331" i="3" s="1"/>
  <c r="B260" i="2"/>
  <c r="Q198" i="3"/>
  <c r="D198" i="3" s="1"/>
  <c r="P206" i="3"/>
  <c r="C206" i="3" s="1"/>
  <c r="S214" i="3"/>
  <c r="F214" i="3" s="1"/>
  <c r="D222" i="2"/>
  <c r="Q222" i="3" s="1"/>
  <c r="D222" i="3" s="1"/>
  <c r="P230" i="3"/>
  <c r="C230" i="3" s="1"/>
  <c r="P234" i="3"/>
  <c r="C234" i="3" s="1"/>
  <c r="T234" i="3"/>
  <c r="G234" i="3" s="1"/>
  <c r="T238" i="3"/>
  <c r="G238" i="3" s="1"/>
  <c r="T242" i="3"/>
  <c r="G242" i="3" s="1"/>
  <c r="T246" i="3"/>
  <c r="G246" i="3" s="1"/>
  <c r="R250" i="3"/>
  <c r="E250" i="3" s="1"/>
  <c r="R254" i="3"/>
  <c r="E254" i="3" s="1"/>
  <c r="R258" i="3"/>
  <c r="E258" i="3" s="1"/>
  <c r="R262" i="3"/>
  <c r="E262" i="3" s="1"/>
  <c r="S266" i="3"/>
  <c r="F266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P302" i="3"/>
  <c r="C302" i="3" s="1"/>
  <c r="P306" i="3"/>
  <c r="C306" i="3" s="1"/>
  <c r="P310" i="3"/>
  <c r="C310" i="3" s="1"/>
  <c r="P314" i="3"/>
  <c r="C314" i="3" s="1"/>
  <c r="P318" i="3"/>
  <c r="C318" i="3" s="1"/>
  <c r="P322" i="3"/>
  <c r="C322" i="3" s="1"/>
  <c r="P326" i="3"/>
  <c r="C326" i="3" s="1"/>
  <c r="T326" i="3"/>
  <c r="G326" i="3" s="1"/>
  <c r="T330" i="3"/>
  <c r="G330" i="3" s="1"/>
  <c r="T334" i="3"/>
  <c r="G334" i="3" s="1"/>
  <c r="P187" i="3"/>
  <c r="C187" i="3" s="1"/>
  <c r="P191" i="3"/>
  <c r="C191" i="3" s="1"/>
  <c r="D195" i="2"/>
  <c r="Q195" i="3" s="1"/>
  <c r="D195" i="3" s="1"/>
  <c r="D199" i="2"/>
  <c r="Q199" i="3" s="1"/>
  <c r="D199" i="3" s="1"/>
  <c r="P203" i="3"/>
  <c r="C203" i="3" s="1"/>
  <c r="P207" i="3"/>
  <c r="C207" i="3" s="1"/>
  <c r="P211" i="3"/>
  <c r="C211" i="3" s="1"/>
  <c r="P215" i="3"/>
  <c r="C215" i="3" s="1"/>
  <c r="D219" i="2"/>
  <c r="Q219" i="3" s="1"/>
  <c r="D219" i="3" s="1"/>
  <c r="D223" i="2"/>
  <c r="Q223" i="3" s="1"/>
  <c r="D223" i="3" s="1"/>
  <c r="D227" i="2"/>
  <c r="Q227" i="3" s="1"/>
  <c r="D227" i="3" s="1"/>
  <c r="P231" i="3"/>
  <c r="C231" i="3" s="1"/>
  <c r="D239" i="2"/>
  <c r="Q239" i="3" s="1"/>
  <c r="D239" i="3" s="1"/>
  <c r="D243" i="2"/>
  <c r="Q243" i="3" s="1"/>
  <c r="D243" i="3" s="1"/>
  <c r="T243" i="3"/>
  <c r="G243" i="3" s="1"/>
  <c r="T247" i="3"/>
  <c r="G247" i="3" s="1"/>
  <c r="T251" i="3"/>
  <c r="G251" i="3" s="1"/>
  <c r="T255" i="3"/>
  <c r="G255" i="3" s="1"/>
  <c r="T259" i="3"/>
  <c r="G259" i="3" s="1"/>
  <c r="T263" i="3"/>
  <c r="G263" i="3" s="1"/>
  <c r="T267" i="3"/>
  <c r="G267" i="3" s="1"/>
  <c r="T271" i="3"/>
  <c r="G271" i="3" s="1"/>
  <c r="S275" i="3"/>
  <c r="F275" i="3" s="1"/>
  <c r="R279" i="3"/>
  <c r="E279" i="3" s="1"/>
  <c r="P287" i="3"/>
  <c r="C287" i="3" s="1"/>
  <c r="R291" i="3"/>
  <c r="E291" i="3" s="1"/>
  <c r="R299" i="3"/>
  <c r="E299" i="3" s="1"/>
  <c r="P307" i="3"/>
  <c r="C307" i="3" s="1"/>
  <c r="P315" i="3"/>
  <c r="C315" i="3" s="1"/>
  <c r="R315" i="3"/>
  <c r="E315" i="3" s="1"/>
  <c r="R323" i="3"/>
  <c r="E323" i="3" s="1"/>
  <c r="P331" i="3"/>
  <c r="C331" i="3" s="1"/>
  <c r="P335" i="3"/>
  <c r="C335" i="3" s="1"/>
  <c r="B176" i="2"/>
  <c r="B45" i="5"/>
  <c r="R335" i="3"/>
  <c r="E335" i="3" s="1"/>
  <c r="B281" i="1"/>
  <c r="B264" i="2"/>
  <c r="B75" i="5"/>
  <c r="P323" i="3"/>
  <c r="C323" i="3" s="1"/>
  <c r="R331" i="3"/>
  <c r="E331" i="3" s="1"/>
  <c r="Q335" i="3"/>
  <c r="D335" i="3" s="1"/>
  <c r="A1" i="1"/>
  <c r="A1" i="3"/>
  <c r="B169" i="1"/>
  <c r="B249" i="1"/>
  <c r="B209" i="1"/>
  <c r="B294" i="1"/>
  <c r="B332" i="5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E302" i="1"/>
  <c r="B190" i="1"/>
  <c r="E71" i="1"/>
  <c r="S218" i="3"/>
  <c r="F218" i="3" s="1"/>
  <c r="S206" i="3"/>
  <c r="F206" i="3" s="1"/>
  <c r="D194" i="2"/>
  <c r="Q194" i="3" s="1"/>
  <c r="D194" i="3" s="1"/>
  <c r="S162" i="3"/>
  <c r="F162" i="3" s="1"/>
  <c r="S150" i="3"/>
  <c r="F150" i="3" s="1"/>
  <c r="R138" i="3"/>
  <c r="E138" i="3" s="1"/>
  <c r="D126" i="2"/>
  <c r="Q126" i="3" s="1"/>
  <c r="D126" i="3" s="1"/>
  <c r="S118" i="3"/>
  <c r="F118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S74" i="3"/>
  <c r="F74" i="3" s="1"/>
  <c r="D58" i="2"/>
  <c r="Q58" i="3" s="1"/>
  <c r="D58" i="3" s="1"/>
  <c r="E50" i="2"/>
  <c r="R50" i="3" s="1"/>
  <c r="E50" i="3" s="1"/>
  <c r="S42" i="3"/>
  <c r="F42" i="3" s="1"/>
  <c r="E26" i="2"/>
  <c r="R26" i="3" s="1"/>
  <c r="E26" i="3" s="1"/>
  <c r="B116" i="2"/>
  <c r="F259" i="2"/>
  <c r="S259" i="3" s="1"/>
  <c r="F259" i="3" s="1"/>
  <c r="B123" i="5"/>
  <c r="I314" i="3"/>
  <c r="B126" i="1"/>
  <c r="E258" i="1"/>
  <c r="B246" i="1"/>
  <c r="E232" i="1"/>
  <c r="H8" i="2"/>
  <c r="D8" i="2"/>
  <c r="Q8" i="3" s="1"/>
  <c r="D8" i="3" s="1"/>
  <c r="H108" i="2"/>
  <c r="U108" i="3" s="1"/>
  <c r="V108" i="3" s="1"/>
  <c r="W108" i="3" s="1"/>
  <c r="B328" i="3"/>
  <c r="I176" i="3"/>
  <c r="D336" i="1"/>
  <c r="C336" i="1"/>
  <c r="B332" i="1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F69" i="1"/>
  <c r="F298" i="1"/>
  <c r="F287" i="1"/>
  <c r="F283" i="1"/>
  <c r="F277" i="1"/>
  <c r="F262" i="1"/>
  <c r="F250" i="1"/>
  <c r="F239" i="1"/>
  <c r="F235" i="1"/>
  <c r="F202" i="1"/>
  <c r="B198" i="1"/>
  <c r="B149" i="1"/>
  <c r="F145" i="1"/>
  <c r="F137" i="1"/>
  <c r="F95" i="1"/>
  <c r="F83" i="1"/>
  <c r="F67" i="1"/>
  <c r="F55" i="1"/>
  <c r="F39" i="1"/>
  <c r="F27" i="1"/>
  <c r="F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334" i="3"/>
  <c r="B290" i="3"/>
  <c r="M15" i="5"/>
  <c r="M104" i="5"/>
  <c r="M238" i="5"/>
  <c r="M224" i="5"/>
  <c r="B20" i="10"/>
  <c r="D7" i="5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F330" i="1"/>
  <c r="F255" i="1"/>
  <c r="F251" i="1"/>
  <c r="F229" i="1"/>
  <c r="F225" i="1"/>
  <c r="E217" i="1"/>
  <c r="F214" i="1"/>
  <c r="E173" i="1"/>
  <c r="F138" i="1"/>
  <c r="E116" i="1"/>
  <c r="E104" i="1"/>
  <c r="F96" i="1"/>
  <c r="E88" i="1"/>
  <c r="F40" i="1"/>
  <c r="E28" i="1"/>
  <c r="F24" i="1"/>
  <c r="F12" i="1"/>
  <c r="D197" i="5"/>
  <c r="D115" i="5"/>
  <c r="D10" i="5"/>
  <c r="F331" i="1"/>
  <c r="D284" i="5"/>
  <c r="E232" i="5"/>
  <c r="E11" i="5"/>
  <c r="E275" i="5"/>
  <c r="E86" i="5"/>
  <c r="E316" i="5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E290" i="5"/>
  <c r="E191" i="5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I300" i="3"/>
  <c r="I190" i="2"/>
  <c r="E218" i="5"/>
  <c r="E206" i="5"/>
  <c r="E78" i="5"/>
  <c r="E46" i="5"/>
  <c r="I325" i="3"/>
  <c r="I287" i="3"/>
  <c r="I231" i="3"/>
  <c r="I223" i="3"/>
  <c r="K223" i="3" s="1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E165" i="5"/>
  <c r="E154" i="5"/>
  <c r="E142" i="5"/>
  <c r="F117" i="5"/>
  <c r="F131" i="5"/>
  <c r="F14" i="5"/>
  <c r="F303" i="5"/>
  <c r="I328" i="3"/>
  <c r="I320" i="3"/>
  <c r="I313" i="3"/>
  <c r="I202" i="3"/>
  <c r="I154" i="3"/>
  <c r="I258" i="3"/>
  <c r="I89" i="3"/>
  <c r="E54" i="1"/>
  <c r="F146" i="1"/>
  <c r="E174" i="1"/>
  <c r="F246" i="1"/>
  <c r="E288" i="1"/>
  <c r="F289" i="1"/>
  <c r="F335" i="1"/>
  <c r="E317" i="1"/>
  <c r="F309" i="1"/>
  <c r="F305" i="1"/>
  <c r="E301" i="1"/>
  <c r="F294" i="1"/>
  <c r="E286" i="1"/>
  <c r="E272" i="1"/>
  <c r="F223" i="1"/>
  <c r="F178" i="1"/>
  <c r="E160" i="1"/>
  <c r="E144" i="1"/>
  <c r="F114" i="1"/>
  <c r="E50" i="1"/>
  <c r="E336" i="5"/>
  <c r="E328" i="5"/>
  <c r="E320" i="5"/>
  <c r="D316" i="5"/>
  <c r="E312" i="5"/>
  <c r="E284" i="5"/>
  <c r="E276" i="5"/>
  <c r="E268" i="5"/>
  <c r="E260" i="5"/>
  <c r="E252" i="5"/>
  <c r="E244" i="5"/>
  <c r="E236" i="5"/>
  <c r="D232" i="5"/>
  <c r="D212" i="5"/>
  <c r="E153" i="5"/>
  <c r="E141" i="5"/>
  <c r="E126" i="5"/>
  <c r="E62" i="5"/>
  <c r="D20" i="5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D94" i="5"/>
  <c r="F267" i="1"/>
  <c r="F245" i="1"/>
  <c r="F218" i="1"/>
  <c r="F207" i="1"/>
  <c r="F203" i="1"/>
  <c r="F197" i="1"/>
  <c r="F193" i="1"/>
  <c r="E189" i="1"/>
  <c r="F185" i="1"/>
  <c r="F177" i="1"/>
  <c r="F170" i="1"/>
  <c r="E117" i="1"/>
  <c r="F113" i="1"/>
  <c r="E335" i="5"/>
  <c r="E327" i="5"/>
  <c r="D315" i="5"/>
  <c r="D295" i="5"/>
  <c r="E291" i="5"/>
  <c r="E283" i="5"/>
  <c r="D275" i="5"/>
  <c r="D231" i="5"/>
  <c r="E227" i="5"/>
  <c r="E207" i="5"/>
  <c r="E195" i="5"/>
  <c r="D191" i="5"/>
  <c r="E175" i="5"/>
  <c r="D148" i="5"/>
  <c r="E94" i="5"/>
  <c r="E61" i="5"/>
  <c r="D55" i="5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F266" i="1"/>
  <c r="B266" i="1"/>
  <c r="E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335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33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35" i="2"/>
  <c r="S335" i="3" s="1"/>
  <c r="F335" i="3" s="1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31" i="2"/>
  <c r="S331" i="3" s="1"/>
  <c r="F331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H231" i="3" s="1"/>
  <c r="F219" i="2"/>
  <c r="S219" i="3" s="1"/>
  <c r="F219" i="3" s="1"/>
  <c r="F203" i="2"/>
  <c r="S203" i="3" s="1"/>
  <c r="F203" i="3" s="1"/>
  <c r="F187" i="2"/>
  <c r="S187" i="3" s="1"/>
  <c r="F187" i="3" s="1"/>
  <c r="F334" i="2"/>
  <c r="S334" i="3" s="1"/>
  <c r="F334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S330" i="3" s="1"/>
  <c r="F330" i="3" s="1"/>
  <c r="F314" i="2"/>
  <c r="S314" i="3" s="1"/>
  <c r="F314" i="3" s="1"/>
  <c r="H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33" i="5"/>
  <c r="D333" i="5"/>
  <c r="G333" i="5"/>
  <c r="E329" i="5"/>
  <c r="D329" i="5"/>
  <c r="B329" i="5"/>
  <c r="E325" i="5"/>
  <c r="D325" i="5"/>
  <c r="B325" i="5"/>
  <c r="E321" i="5"/>
  <c r="D321" i="5"/>
  <c r="B321" i="5"/>
  <c r="E317" i="5"/>
  <c r="D317" i="5"/>
  <c r="G317" i="5"/>
  <c r="B317" i="5"/>
  <c r="E313" i="5"/>
  <c r="D313" i="5"/>
  <c r="B313" i="5"/>
  <c r="E309" i="5"/>
  <c r="D309" i="5"/>
  <c r="B309" i="5"/>
  <c r="E305" i="5"/>
  <c r="D305" i="5"/>
  <c r="B305" i="5"/>
  <c r="E301" i="5"/>
  <c r="G301" i="5"/>
  <c r="D301" i="5"/>
  <c r="E297" i="5"/>
  <c r="D297" i="5"/>
  <c r="B297" i="5"/>
  <c r="E293" i="5"/>
  <c r="D293" i="5"/>
  <c r="B293" i="5"/>
  <c r="E289" i="5"/>
  <c r="D289" i="5"/>
  <c r="B289" i="5"/>
  <c r="D285" i="5"/>
  <c r="E285" i="5"/>
  <c r="G285" i="5"/>
  <c r="B285" i="5"/>
  <c r="E281" i="5"/>
  <c r="D281" i="5"/>
  <c r="B281" i="5"/>
  <c r="E277" i="5"/>
  <c r="B277" i="5"/>
  <c r="D277" i="5"/>
  <c r="D273" i="5"/>
  <c r="B273" i="5"/>
  <c r="E273" i="5"/>
  <c r="E269" i="5"/>
  <c r="G269" i="5"/>
  <c r="E265" i="5"/>
  <c r="D265" i="5"/>
  <c r="B265" i="5"/>
  <c r="E261" i="5"/>
  <c r="B261" i="5"/>
  <c r="D261" i="5"/>
  <c r="E257" i="5"/>
  <c r="D257" i="5"/>
  <c r="B257" i="5"/>
  <c r="G253" i="5"/>
  <c r="E253" i="5"/>
  <c r="B253" i="5"/>
  <c r="D253" i="5"/>
  <c r="E249" i="5"/>
  <c r="D249" i="5"/>
  <c r="B249" i="5"/>
  <c r="E245" i="5"/>
  <c r="B245" i="5"/>
  <c r="D245" i="5"/>
  <c r="E241" i="5"/>
  <c r="D241" i="5"/>
  <c r="E237" i="5"/>
  <c r="G237" i="5"/>
  <c r="B237" i="5"/>
  <c r="D237" i="5"/>
  <c r="E233" i="5"/>
  <c r="D233" i="5"/>
  <c r="B233" i="5"/>
  <c r="E229" i="5"/>
  <c r="B229" i="5"/>
  <c r="D229" i="5"/>
  <c r="E225" i="5"/>
  <c r="D225" i="5"/>
  <c r="F225" i="5"/>
  <c r="B225" i="5"/>
  <c r="D221" i="5"/>
  <c r="E221" i="5"/>
  <c r="G221" i="5"/>
  <c r="E217" i="5"/>
  <c r="D217" i="5"/>
  <c r="B217" i="5"/>
  <c r="E213" i="5"/>
  <c r="D213" i="5"/>
  <c r="B213" i="5"/>
  <c r="E209" i="5"/>
  <c r="D209" i="5"/>
  <c r="B209" i="5"/>
  <c r="E205" i="5"/>
  <c r="D205" i="5"/>
  <c r="G205" i="5"/>
  <c r="B205" i="5"/>
  <c r="D201" i="5"/>
  <c r="E201" i="5"/>
  <c r="E197" i="5"/>
  <c r="B197" i="5"/>
  <c r="E193" i="5"/>
  <c r="D193" i="5"/>
  <c r="B193" i="5"/>
  <c r="E189" i="5"/>
  <c r="D189" i="5"/>
  <c r="G189" i="5"/>
  <c r="B189" i="5"/>
  <c r="D107" i="5"/>
  <c r="E107" i="5"/>
  <c r="B107" i="5"/>
  <c r="D100" i="5"/>
  <c r="E100" i="5"/>
  <c r="B100" i="5"/>
  <c r="E96" i="5"/>
  <c r="D96" i="5"/>
  <c r="B96" i="5"/>
  <c r="D92" i="5"/>
  <c r="E92" i="5"/>
  <c r="B92" i="5"/>
  <c r="E88" i="5"/>
  <c r="D88" i="5"/>
  <c r="B88" i="5"/>
  <c r="D85" i="5"/>
  <c r="B85" i="5"/>
  <c r="E85" i="5"/>
  <c r="D63" i="5"/>
  <c r="E63" i="5"/>
  <c r="B63" i="5"/>
  <c r="E56" i="5"/>
  <c r="D56" i="5"/>
  <c r="B56" i="5"/>
  <c r="E53" i="5"/>
  <c r="D53" i="5"/>
  <c r="B53" i="5"/>
  <c r="E31" i="5"/>
  <c r="D31" i="5"/>
  <c r="B31" i="5"/>
  <c r="D24" i="5"/>
  <c r="B24" i="5"/>
  <c r="E21" i="5"/>
  <c r="D21" i="5"/>
  <c r="B21" i="5"/>
  <c r="D269" i="5"/>
  <c r="B310" i="1"/>
  <c r="F310" i="1"/>
  <c r="F273" i="1"/>
  <c r="B273" i="1"/>
  <c r="B240" i="2"/>
  <c r="E122" i="5"/>
  <c r="G122" i="5"/>
  <c r="D122" i="5"/>
  <c r="E118" i="5"/>
  <c r="D118" i="5"/>
  <c r="E114" i="5"/>
  <c r="D114" i="5"/>
  <c r="B114" i="5"/>
  <c r="E110" i="5"/>
  <c r="D110" i="5"/>
  <c r="B110" i="5"/>
  <c r="E66" i="5"/>
  <c r="D66" i="5"/>
  <c r="B66" i="5"/>
  <c r="D34" i="5"/>
  <c r="B34" i="5"/>
  <c r="F325" i="1"/>
  <c r="B325" i="1"/>
  <c r="F321" i="1"/>
  <c r="B321" i="1"/>
  <c r="E186" i="1"/>
  <c r="F186" i="1"/>
  <c r="B324" i="2"/>
  <c r="D171" i="5"/>
  <c r="B171" i="5"/>
  <c r="E171" i="5"/>
  <c r="E167" i="5"/>
  <c r="D167" i="5"/>
  <c r="E163" i="5"/>
  <c r="D163" i="5"/>
  <c r="B163" i="5"/>
  <c r="E159" i="5"/>
  <c r="D159" i="5"/>
  <c r="B159" i="5"/>
  <c r="E152" i="5"/>
  <c r="D152" i="5"/>
  <c r="B152" i="5"/>
  <c r="E144" i="5"/>
  <c r="D144" i="5"/>
  <c r="B144" i="5"/>
  <c r="D140" i="5"/>
  <c r="E140" i="5"/>
  <c r="B140" i="5"/>
  <c r="E137" i="5"/>
  <c r="D137" i="5"/>
  <c r="E133" i="5"/>
  <c r="D133" i="5"/>
  <c r="E129" i="5"/>
  <c r="D129" i="5"/>
  <c r="B129" i="5"/>
  <c r="E125" i="5"/>
  <c r="G125" i="5"/>
  <c r="B125" i="5"/>
  <c r="D125" i="5"/>
  <c r="E79" i="5"/>
  <c r="D79" i="5"/>
  <c r="B79" i="5"/>
  <c r="E72" i="5"/>
  <c r="D72" i="5"/>
  <c r="B72" i="5"/>
  <c r="E69" i="5"/>
  <c r="D69" i="5"/>
  <c r="D47" i="5"/>
  <c r="E47" i="5"/>
  <c r="B47" i="5"/>
  <c r="D40" i="5"/>
  <c r="E40" i="5"/>
  <c r="B40" i="5"/>
  <c r="E37" i="5"/>
  <c r="D37" i="5"/>
  <c r="E15" i="5"/>
  <c r="D15" i="5"/>
  <c r="B15" i="5"/>
  <c r="D8" i="5"/>
  <c r="B8" i="5"/>
  <c r="B37" i="5"/>
  <c r="F230" i="1"/>
  <c r="B230" i="1"/>
  <c r="B327" i="2"/>
  <c r="B292" i="2"/>
  <c r="E186" i="5"/>
  <c r="G186" i="5"/>
  <c r="B186" i="5"/>
  <c r="D186" i="5"/>
  <c r="E182" i="5"/>
  <c r="D182" i="5"/>
  <c r="E178" i="5"/>
  <c r="D178" i="5"/>
  <c r="E174" i="5"/>
  <c r="D174" i="5"/>
  <c r="E82" i="5"/>
  <c r="D82" i="5"/>
  <c r="B82" i="5"/>
  <c r="E50" i="5"/>
  <c r="D50" i="5"/>
  <c r="B50" i="5"/>
  <c r="D18" i="5"/>
  <c r="B18" i="5"/>
  <c r="E148" i="5"/>
  <c r="E130" i="1"/>
  <c r="F130" i="1"/>
  <c r="E332" i="5"/>
  <c r="D332" i="5"/>
  <c r="E324" i="5"/>
  <c r="D324" i="5"/>
  <c r="E308" i="5"/>
  <c r="D308" i="5"/>
  <c r="D304" i="5"/>
  <c r="E304" i="5"/>
  <c r="E300" i="5"/>
  <c r="D300" i="5"/>
  <c r="E296" i="5"/>
  <c r="D296" i="5"/>
  <c r="E292" i="5"/>
  <c r="D292" i="5"/>
  <c r="E288" i="5"/>
  <c r="D288" i="5"/>
  <c r="E280" i="5"/>
  <c r="D280" i="5"/>
  <c r="E272" i="5"/>
  <c r="D272" i="5"/>
  <c r="D264" i="5"/>
  <c r="E264" i="5"/>
  <c r="E256" i="5"/>
  <c r="D256" i="5"/>
  <c r="E248" i="5"/>
  <c r="D248" i="5"/>
  <c r="E240" i="5"/>
  <c r="D240" i="5"/>
  <c r="E228" i="5"/>
  <c r="D228" i="5"/>
  <c r="E224" i="5"/>
  <c r="D224" i="5"/>
  <c r="D220" i="5"/>
  <c r="E220" i="5"/>
  <c r="D216" i="5"/>
  <c r="E216" i="5"/>
  <c r="E208" i="5"/>
  <c r="D208" i="5"/>
  <c r="E204" i="5"/>
  <c r="D204" i="5"/>
  <c r="D200" i="5"/>
  <c r="E200" i="5"/>
  <c r="E196" i="5"/>
  <c r="D196" i="5"/>
  <c r="E192" i="5"/>
  <c r="D192" i="5"/>
  <c r="E188" i="5"/>
  <c r="D188" i="5"/>
  <c r="E181" i="5"/>
  <c r="D181" i="5"/>
  <c r="E177" i="5"/>
  <c r="D177" i="5"/>
  <c r="E173" i="5"/>
  <c r="D173" i="5"/>
  <c r="G173" i="5"/>
  <c r="D166" i="5"/>
  <c r="E166" i="5"/>
  <c r="E162" i="5"/>
  <c r="D162" i="5"/>
  <c r="E158" i="5"/>
  <c r="D158" i="5"/>
  <c r="D155" i="5"/>
  <c r="E155" i="5"/>
  <c r="E151" i="5"/>
  <c r="D151" i="5"/>
  <c r="E143" i="5"/>
  <c r="D143" i="5"/>
  <c r="E136" i="5"/>
  <c r="D136" i="5"/>
  <c r="D132" i="5"/>
  <c r="E132" i="5"/>
  <c r="E128" i="5"/>
  <c r="D128" i="5"/>
  <c r="D124" i="5"/>
  <c r="E124" i="5"/>
  <c r="E121" i="5"/>
  <c r="D121" i="5"/>
  <c r="E117" i="5"/>
  <c r="D117" i="5"/>
  <c r="E113" i="5"/>
  <c r="D113" i="5"/>
  <c r="E109" i="5"/>
  <c r="G109" i="5"/>
  <c r="E106" i="5"/>
  <c r="D106" i="5"/>
  <c r="E103" i="5"/>
  <c r="D103" i="5"/>
  <c r="E99" i="5"/>
  <c r="D99" i="5"/>
  <c r="C99" i="5"/>
  <c r="E95" i="5"/>
  <c r="D95" i="5"/>
  <c r="E91" i="5"/>
  <c r="D91" i="5"/>
  <c r="E84" i="5"/>
  <c r="D84" i="5"/>
  <c r="E81" i="5"/>
  <c r="D81" i="5"/>
  <c r="E75" i="5"/>
  <c r="D75" i="5"/>
  <c r="E68" i="5"/>
  <c r="D68" i="5"/>
  <c r="E65" i="5"/>
  <c r="D65" i="5"/>
  <c r="D59" i="5"/>
  <c r="E59" i="5"/>
  <c r="E52" i="5"/>
  <c r="D52" i="5"/>
  <c r="E49" i="5"/>
  <c r="D49" i="5"/>
  <c r="D43" i="5"/>
  <c r="E43" i="5"/>
  <c r="E33" i="5"/>
  <c r="D33" i="5"/>
  <c r="D27" i="5"/>
  <c r="E27" i="5"/>
  <c r="D17" i="5"/>
  <c r="E17" i="5"/>
  <c r="I306" i="3"/>
  <c r="B306" i="3"/>
  <c r="B250" i="3"/>
  <c r="I250" i="3"/>
  <c r="I162" i="3"/>
  <c r="B162" i="3"/>
  <c r="B333" i="3"/>
  <c r="B317" i="3"/>
  <c r="B311" i="3"/>
  <c r="I332" i="3"/>
  <c r="G141" i="5"/>
  <c r="D327" i="5"/>
  <c r="D312" i="5"/>
  <c r="D283" i="5"/>
  <c r="D268" i="5"/>
  <c r="D252" i="5"/>
  <c r="D236" i="5"/>
  <c r="D195" i="5"/>
  <c r="D153" i="5"/>
  <c r="D61" i="5"/>
  <c r="E315" i="5"/>
  <c r="E231" i="5"/>
  <c r="E190" i="5"/>
  <c r="E147" i="5"/>
  <c r="E9" i="5"/>
  <c r="B309" i="1"/>
  <c r="E330" i="1"/>
  <c r="F319" i="1"/>
  <c r="F315" i="1"/>
  <c r="F293" i="1"/>
  <c r="F282" i="1"/>
  <c r="F271" i="1"/>
  <c r="F261" i="1"/>
  <c r="F257" i="1"/>
  <c r="E216" i="1"/>
  <c r="F213" i="1"/>
  <c r="F209" i="1"/>
  <c r="E202" i="1"/>
  <c r="F191" i="1"/>
  <c r="F169" i="1"/>
  <c r="F162" i="1"/>
  <c r="E158" i="1"/>
  <c r="F154" i="1"/>
  <c r="F129" i="1"/>
  <c r="F122" i="1"/>
  <c r="F106" i="1"/>
  <c r="E70" i="1"/>
  <c r="E30" i="1"/>
  <c r="E331" i="5"/>
  <c r="D331" i="5"/>
  <c r="E323" i="5"/>
  <c r="D323" i="5"/>
  <c r="E319" i="5"/>
  <c r="D319" i="5"/>
  <c r="E311" i="5"/>
  <c r="D311" i="5"/>
  <c r="E307" i="5"/>
  <c r="D307" i="5"/>
  <c r="E303" i="5"/>
  <c r="D303" i="5"/>
  <c r="E299" i="5"/>
  <c r="D299" i="5"/>
  <c r="E287" i="5"/>
  <c r="D287" i="5"/>
  <c r="E279" i="5"/>
  <c r="D279" i="5"/>
  <c r="E271" i="5"/>
  <c r="D271" i="5"/>
  <c r="E267" i="5"/>
  <c r="D267" i="5"/>
  <c r="D263" i="5"/>
  <c r="E263" i="5"/>
  <c r="E259" i="5"/>
  <c r="D259" i="5"/>
  <c r="E255" i="5"/>
  <c r="D255" i="5"/>
  <c r="E251" i="5"/>
  <c r="D251" i="5"/>
  <c r="E247" i="5"/>
  <c r="D247" i="5"/>
  <c r="D243" i="5"/>
  <c r="E243" i="5"/>
  <c r="E239" i="5"/>
  <c r="D239" i="5"/>
  <c r="E235" i="5"/>
  <c r="D235" i="5"/>
  <c r="E223" i="5"/>
  <c r="D223" i="5"/>
  <c r="E219" i="5"/>
  <c r="D219" i="5"/>
  <c r="E215" i="5"/>
  <c r="D215" i="5"/>
  <c r="E211" i="5"/>
  <c r="D211" i="5"/>
  <c r="E203" i="5"/>
  <c r="D203" i="5"/>
  <c r="E199" i="5"/>
  <c r="D199" i="5"/>
  <c r="E184" i="5"/>
  <c r="D184" i="5"/>
  <c r="E180" i="5"/>
  <c r="D180" i="5"/>
  <c r="D176" i="5"/>
  <c r="E176" i="5"/>
  <c r="E172" i="5"/>
  <c r="D172" i="5"/>
  <c r="E169" i="5"/>
  <c r="D169" i="5"/>
  <c r="E161" i="5"/>
  <c r="D161" i="5"/>
  <c r="E157" i="5"/>
  <c r="G157" i="5"/>
  <c r="D157" i="5"/>
  <c r="E150" i="5"/>
  <c r="D150" i="5"/>
  <c r="E146" i="5"/>
  <c r="D146" i="5"/>
  <c r="D139" i="5"/>
  <c r="E139" i="5"/>
  <c r="E135" i="5"/>
  <c r="D135" i="5"/>
  <c r="D131" i="5"/>
  <c r="E131" i="5"/>
  <c r="E127" i="5"/>
  <c r="D127" i="5"/>
  <c r="E120" i="5"/>
  <c r="D120" i="5"/>
  <c r="E112" i="5"/>
  <c r="D112" i="5"/>
  <c r="D108" i="5"/>
  <c r="E108" i="5"/>
  <c r="E105" i="5"/>
  <c r="D105" i="5"/>
  <c r="E102" i="5"/>
  <c r="D102" i="5"/>
  <c r="E98" i="5"/>
  <c r="D98" i="5"/>
  <c r="E90" i="5"/>
  <c r="D90" i="5"/>
  <c r="G90" i="5"/>
  <c r="E87" i="5"/>
  <c r="D87" i="5"/>
  <c r="E80" i="5"/>
  <c r="D80" i="5"/>
  <c r="E77" i="5"/>
  <c r="G77" i="5"/>
  <c r="E74" i="5"/>
  <c r="D74" i="5"/>
  <c r="E71" i="5"/>
  <c r="D71" i="5"/>
  <c r="E64" i="5"/>
  <c r="D64" i="5"/>
  <c r="E58" i="5"/>
  <c r="D58" i="5"/>
  <c r="E48" i="5"/>
  <c r="D48" i="5"/>
  <c r="E45" i="5"/>
  <c r="G45" i="5"/>
  <c r="E42" i="5"/>
  <c r="D42" i="5"/>
  <c r="D39" i="5"/>
  <c r="E39" i="5"/>
  <c r="E29" i="5"/>
  <c r="G29" i="5"/>
  <c r="D26" i="5"/>
  <c r="G26" i="5"/>
  <c r="E23" i="5"/>
  <c r="D23" i="5"/>
  <c r="E13" i="5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K237" i="3" s="1"/>
  <c r="I194" i="3"/>
  <c r="I93" i="3"/>
  <c r="G61" i="5"/>
  <c r="D336" i="5"/>
  <c r="D306" i="5"/>
  <c r="D291" i="5"/>
  <c r="D207" i="5"/>
  <c r="D165" i="5"/>
  <c r="D142" i="5"/>
  <c r="D78" i="5"/>
  <c r="D46" i="5"/>
  <c r="E295" i="5"/>
  <c r="E212" i="5"/>
  <c r="E116" i="5"/>
  <c r="E55" i="5"/>
  <c r="B177" i="1"/>
  <c r="B217" i="1"/>
  <c r="B336" i="5"/>
  <c r="E329" i="1"/>
  <c r="F326" i="1"/>
  <c r="F314" i="1"/>
  <c r="E314" i="1"/>
  <c r="F303" i="1"/>
  <c r="F299" i="1"/>
  <c r="F278" i="1"/>
  <c r="E274" i="1"/>
  <c r="E260" i="1"/>
  <c r="E245" i="1"/>
  <c r="F241" i="1"/>
  <c r="F234" i="1"/>
  <c r="F219" i="1"/>
  <c r="E201" i="1"/>
  <c r="F198" i="1"/>
  <c r="F161" i="1"/>
  <c r="F153" i="1"/>
  <c r="E146" i="1"/>
  <c r="E132" i="1"/>
  <c r="F121" i="1"/>
  <c r="F105" i="1"/>
  <c r="E101" i="1"/>
  <c r="E89" i="1"/>
  <c r="F81" i="1"/>
  <c r="F53" i="1"/>
  <c r="E334" i="5"/>
  <c r="D334" i="5"/>
  <c r="E330" i="5"/>
  <c r="G330" i="5"/>
  <c r="D330" i="5"/>
  <c r="D326" i="5"/>
  <c r="E326" i="5"/>
  <c r="E322" i="5"/>
  <c r="D322" i="5"/>
  <c r="E318" i="5"/>
  <c r="D318" i="5"/>
  <c r="E314" i="5"/>
  <c r="D314" i="5"/>
  <c r="G314" i="5"/>
  <c r="E310" i="5"/>
  <c r="D310" i="5"/>
  <c r="E302" i="5"/>
  <c r="D302" i="5"/>
  <c r="E298" i="5"/>
  <c r="G298" i="5"/>
  <c r="E294" i="5"/>
  <c r="D294" i="5"/>
  <c r="E286" i="5"/>
  <c r="D286" i="5"/>
  <c r="E282" i="5"/>
  <c r="D282" i="5"/>
  <c r="E278" i="5"/>
  <c r="D278" i="5"/>
  <c r="E274" i="5"/>
  <c r="D274" i="5"/>
  <c r="E270" i="5"/>
  <c r="D270" i="5"/>
  <c r="E266" i="5"/>
  <c r="D266" i="5"/>
  <c r="G266" i="5"/>
  <c r="E262" i="5"/>
  <c r="D262" i="5"/>
  <c r="E258" i="5"/>
  <c r="D258" i="5"/>
  <c r="E254" i="5"/>
  <c r="D254" i="5"/>
  <c r="E250" i="5"/>
  <c r="D250" i="5"/>
  <c r="G250" i="5"/>
  <c r="E246" i="5"/>
  <c r="D246" i="5"/>
  <c r="E242" i="5"/>
  <c r="D242" i="5"/>
  <c r="E238" i="5"/>
  <c r="D238" i="5"/>
  <c r="E234" i="5"/>
  <c r="D234" i="5"/>
  <c r="G234" i="5"/>
  <c r="E230" i="5"/>
  <c r="D230" i="5"/>
  <c r="E226" i="5"/>
  <c r="D226" i="5"/>
  <c r="E222" i="5"/>
  <c r="D222" i="5"/>
  <c r="E214" i="5"/>
  <c r="D214" i="5"/>
  <c r="E202" i="5"/>
  <c r="G202" i="5"/>
  <c r="D202" i="5"/>
  <c r="E198" i="5"/>
  <c r="D198" i="5"/>
  <c r="E194" i="5"/>
  <c r="D194" i="5"/>
  <c r="E187" i="5"/>
  <c r="D187" i="5"/>
  <c r="E183" i="5"/>
  <c r="D183" i="5"/>
  <c r="E179" i="5"/>
  <c r="D179" i="5"/>
  <c r="E168" i="5"/>
  <c r="D168" i="5"/>
  <c r="D164" i="5"/>
  <c r="E164" i="5"/>
  <c r="D160" i="5"/>
  <c r="E160" i="5"/>
  <c r="E156" i="5"/>
  <c r="D156" i="5"/>
  <c r="E149" i="5"/>
  <c r="D149" i="5"/>
  <c r="E145" i="5"/>
  <c r="D145" i="5"/>
  <c r="E138" i="5"/>
  <c r="D138" i="5"/>
  <c r="E134" i="5"/>
  <c r="D134" i="5"/>
  <c r="E130" i="5"/>
  <c r="D130" i="5"/>
  <c r="D123" i="5"/>
  <c r="E123" i="5"/>
  <c r="E119" i="5"/>
  <c r="D119" i="5"/>
  <c r="E111" i="5"/>
  <c r="D111" i="5"/>
  <c r="E104" i="5"/>
  <c r="D104" i="5"/>
  <c r="D101" i="5"/>
  <c r="E101" i="5"/>
  <c r="E97" i="5"/>
  <c r="D97" i="5"/>
  <c r="E93" i="5"/>
  <c r="G93" i="5"/>
  <c r="E89" i="5"/>
  <c r="D89" i="5"/>
  <c r="E83" i="5"/>
  <c r="D83" i="5"/>
  <c r="E76" i="5"/>
  <c r="D76" i="5"/>
  <c r="E73" i="5"/>
  <c r="D73" i="5"/>
  <c r="E70" i="5"/>
  <c r="D70" i="5"/>
  <c r="D67" i="5"/>
  <c r="E67" i="5"/>
  <c r="E60" i="5"/>
  <c r="D60" i="5"/>
  <c r="E57" i="5"/>
  <c r="D57" i="5"/>
  <c r="D51" i="5"/>
  <c r="E51" i="5"/>
  <c r="E44" i="5"/>
  <c r="D44" i="5"/>
  <c r="E41" i="5"/>
  <c r="D41" i="5"/>
  <c r="E38" i="5"/>
  <c r="D38" i="5"/>
  <c r="D35" i="5"/>
  <c r="E35" i="5"/>
  <c r="D25" i="5"/>
  <c r="E25" i="5"/>
  <c r="E19" i="5"/>
  <c r="D19" i="5"/>
  <c r="I189" i="3"/>
  <c r="G218" i="5"/>
  <c r="G58" i="5"/>
  <c r="E229" i="1"/>
  <c r="D335" i="5"/>
  <c r="D320" i="5"/>
  <c r="D290" i="5"/>
  <c r="D276" i="5"/>
  <c r="D260" i="5"/>
  <c r="D244" i="5"/>
  <c r="D227" i="5"/>
  <c r="D206" i="5"/>
  <c r="D185" i="5"/>
  <c r="D141" i="5"/>
  <c r="D109" i="5"/>
  <c r="D77" i="5"/>
  <c r="D45" i="5"/>
  <c r="E210" i="5"/>
  <c r="E170" i="5"/>
  <c r="E115" i="5"/>
  <c r="E54" i="5"/>
  <c r="E7" i="5"/>
  <c r="K271" i="5"/>
  <c r="K171" i="5"/>
  <c r="K218" i="5"/>
  <c r="K154" i="5"/>
  <c r="K26" i="5"/>
  <c r="K22" i="5"/>
  <c r="I76" i="2"/>
  <c r="I240" i="2"/>
  <c r="H331" i="2"/>
  <c r="U331" i="3" s="1"/>
  <c r="V331" i="3" s="1"/>
  <c r="W331" i="3" s="1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H216" i="3"/>
  <c r="H89" i="3"/>
  <c r="I9" i="3"/>
  <c r="I25" i="3"/>
  <c r="I40" i="3"/>
  <c r="I53" i="3"/>
  <c r="I69" i="3"/>
  <c r="I81" i="3"/>
  <c r="I96" i="3"/>
  <c r="I112" i="3"/>
  <c r="K112" i="3" s="1"/>
  <c r="I125" i="3"/>
  <c r="K125" i="3" s="1"/>
  <c r="I137" i="3"/>
  <c r="I152" i="3"/>
  <c r="I157" i="3"/>
  <c r="I165" i="3"/>
  <c r="I177" i="3"/>
  <c r="I185" i="3"/>
  <c r="I191" i="3"/>
  <c r="I199" i="3"/>
  <c r="I204" i="3"/>
  <c r="I212" i="3"/>
  <c r="I218" i="3"/>
  <c r="I226" i="3"/>
  <c r="I233" i="3"/>
  <c r="K233" i="3" s="1"/>
  <c r="I241" i="3"/>
  <c r="I247" i="3"/>
  <c r="I253" i="3"/>
  <c r="I261" i="3"/>
  <c r="I268" i="3"/>
  <c r="I276" i="3"/>
  <c r="I282" i="3"/>
  <c r="I290" i="3"/>
  <c r="I296" i="3"/>
  <c r="I304" i="3"/>
  <c r="I309" i="3"/>
  <c r="I316" i="3"/>
  <c r="I324" i="3"/>
  <c r="I329" i="3"/>
  <c r="I335" i="3"/>
  <c r="I16" i="3"/>
  <c r="I29" i="3"/>
  <c r="I41" i="3"/>
  <c r="I57" i="3"/>
  <c r="I72" i="3"/>
  <c r="I85" i="3"/>
  <c r="I101" i="3"/>
  <c r="I113" i="3"/>
  <c r="I128" i="3"/>
  <c r="I144" i="3"/>
  <c r="I153" i="3"/>
  <c r="I159" i="3"/>
  <c r="I167" i="3"/>
  <c r="I172" i="3"/>
  <c r="I180" i="3"/>
  <c r="I186" i="3"/>
  <c r="I193" i="3"/>
  <c r="I200" i="3"/>
  <c r="I207" i="3"/>
  <c r="I213" i="3"/>
  <c r="I221" i="3"/>
  <c r="I228" i="3"/>
  <c r="I236" i="3"/>
  <c r="I242" i="3"/>
  <c r="I248" i="3"/>
  <c r="I256" i="3"/>
  <c r="I263" i="3"/>
  <c r="I271" i="3"/>
  <c r="I277" i="3"/>
  <c r="I285" i="3"/>
  <c r="I292" i="3"/>
  <c r="I297" i="3"/>
  <c r="I305" i="3"/>
  <c r="I311" i="3"/>
  <c r="I319" i="3"/>
  <c r="I330" i="3"/>
  <c r="K286" i="5"/>
  <c r="K275" i="5"/>
  <c r="K119" i="5"/>
  <c r="K55" i="5"/>
  <c r="I335" i="2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K9" i="5"/>
  <c r="K190" i="5"/>
  <c r="C84" i="5"/>
  <c r="C235" i="5"/>
  <c r="C322" i="5"/>
  <c r="C168" i="5"/>
  <c r="C332" i="5"/>
  <c r="C7" i="5"/>
  <c r="J7" i="5" s="1"/>
  <c r="C148" i="5"/>
  <c r="C289" i="5"/>
  <c r="C246" i="5"/>
  <c r="C280" i="5"/>
  <c r="H245" i="3"/>
  <c r="H176" i="3"/>
  <c r="H48" i="3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33" i="3"/>
  <c r="I321" i="3"/>
  <c r="I308" i="3"/>
  <c r="I295" i="3"/>
  <c r="I281" i="3"/>
  <c r="I266" i="3"/>
  <c r="I252" i="3"/>
  <c r="I239" i="3"/>
  <c r="I224" i="3"/>
  <c r="K224" i="3" s="1"/>
  <c r="I209" i="3"/>
  <c r="I197" i="3"/>
  <c r="I184" i="3"/>
  <c r="I170" i="3"/>
  <c r="I156" i="3"/>
  <c r="I136" i="3"/>
  <c r="I105" i="3"/>
  <c r="I80" i="3"/>
  <c r="I49" i="3"/>
  <c r="I21" i="3"/>
  <c r="E6" i="1"/>
  <c r="E16" i="1"/>
  <c r="E26" i="1"/>
  <c r="E36" i="1"/>
  <c r="E44" i="1"/>
  <c r="E52" i="1"/>
  <c r="E59" i="1"/>
  <c r="E66" i="1"/>
  <c r="E74" i="1"/>
  <c r="E80" i="1"/>
  <c r="E86" i="1"/>
  <c r="E92" i="1"/>
  <c r="E97" i="1"/>
  <c r="E102" i="1"/>
  <c r="E108" i="1"/>
  <c r="E113" i="1"/>
  <c r="E118" i="1"/>
  <c r="E124" i="1"/>
  <c r="E129" i="1"/>
  <c r="E134" i="1"/>
  <c r="E140" i="1"/>
  <c r="E145" i="1"/>
  <c r="E150" i="1"/>
  <c r="E156" i="1"/>
  <c r="E161" i="1"/>
  <c r="E166" i="1"/>
  <c r="E172" i="1"/>
  <c r="E177" i="1"/>
  <c r="E182" i="1"/>
  <c r="E188" i="1"/>
  <c r="E193" i="1"/>
  <c r="E198" i="1"/>
  <c r="E204" i="1"/>
  <c r="E209" i="1"/>
  <c r="E214" i="1"/>
  <c r="E220" i="1"/>
  <c r="E225" i="1"/>
  <c r="E230" i="1"/>
  <c r="E236" i="1"/>
  <c r="E241" i="1"/>
  <c r="E246" i="1"/>
  <c r="E252" i="1"/>
  <c r="E257" i="1"/>
  <c r="E262" i="1"/>
  <c r="E268" i="1"/>
  <c r="E273" i="1"/>
  <c r="E278" i="1"/>
  <c r="E284" i="1"/>
  <c r="E289" i="1"/>
  <c r="E294" i="1"/>
  <c r="E300" i="1"/>
  <c r="E305" i="1"/>
  <c r="E310" i="1"/>
  <c r="E316" i="1"/>
  <c r="E321" i="1"/>
  <c r="E326" i="1"/>
  <c r="E332" i="1"/>
  <c r="F9" i="1"/>
  <c r="F15" i="1"/>
  <c r="F20" i="1"/>
  <c r="F25" i="1"/>
  <c r="F31" i="1"/>
  <c r="F36" i="1"/>
  <c r="F41" i="1"/>
  <c r="F47" i="1"/>
  <c r="F52" i="1"/>
  <c r="F57" i="1"/>
  <c r="F63" i="1"/>
  <c r="F68" i="1"/>
  <c r="F73" i="1"/>
  <c r="F79" i="1"/>
  <c r="F84" i="1"/>
  <c r="F89" i="1"/>
  <c r="F94" i="1"/>
  <c r="F98" i="1"/>
  <c r="F102" i="1"/>
  <c r="E12" i="1"/>
  <c r="E22" i="1"/>
  <c r="E37" i="1"/>
  <c r="E48" i="1"/>
  <c r="E58" i="1"/>
  <c r="E68" i="1"/>
  <c r="E76" i="1"/>
  <c r="E85" i="1"/>
  <c r="E93" i="1"/>
  <c r="E100" i="1"/>
  <c r="E106" i="1"/>
  <c r="E114" i="1"/>
  <c r="E121" i="1"/>
  <c r="E128" i="1"/>
  <c r="E136" i="1"/>
  <c r="E142" i="1"/>
  <c r="E149" i="1"/>
  <c r="E157" i="1"/>
  <c r="E164" i="1"/>
  <c r="E170" i="1"/>
  <c r="E178" i="1"/>
  <c r="E185" i="1"/>
  <c r="E192" i="1"/>
  <c r="E200" i="1"/>
  <c r="E206" i="1"/>
  <c r="E213" i="1"/>
  <c r="E221" i="1"/>
  <c r="E228" i="1"/>
  <c r="E234" i="1"/>
  <c r="E242" i="1"/>
  <c r="E249" i="1"/>
  <c r="E256" i="1"/>
  <c r="E264" i="1"/>
  <c r="E270" i="1"/>
  <c r="E277" i="1"/>
  <c r="E285" i="1"/>
  <c r="E292" i="1"/>
  <c r="E298" i="1"/>
  <c r="E306" i="1"/>
  <c r="E313" i="1"/>
  <c r="E320" i="1"/>
  <c r="E328" i="1"/>
  <c r="E334" i="1"/>
  <c r="F8" i="1"/>
  <c r="F16" i="1"/>
  <c r="F23" i="1"/>
  <c r="F29" i="1"/>
  <c r="F37" i="1"/>
  <c r="F44" i="1"/>
  <c r="F51" i="1"/>
  <c r="F59" i="1"/>
  <c r="F65" i="1"/>
  <c r="F72" i="1"/>
  <c r="F80" i="1"/>
  <c r="F87" i="1"/>
  <c r="F93" i="1"/>
  <c r="F99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E9" i="1"/>
  <c r="E21" i="1"/>
  <c r="E33" i="1"/>
  <c r="E47" i="1"/>
  <c r="E55" i="1"/>
  <c r="E64" i="1"/>
  <c r="E75" i="1"/>
  <c r="E84" i="1"/>
  <c r="E90" i="1"/>
  <c r="E98" i="1"/>
  <c r="E105" i="1"/>
  <c r="E112" i="1"/>
  <c r="E120" i="1"/>
  <c r="E126" i="1"/>
  <c r="E133" i="1"/>
  <c r="E141" i="1"/>
  <c r="E148" i="1"/>
  <c r="E154" i="1"/>
  <c r="E162" i="1"/>
  <c r="E169" i="1"/>
  <c r="E176" i="1"/>
  <c r="E184" i="1"/>
  <c r="E190" i="1"/>
  <c r="E197" i="1"/>
  <c r="E205" i="1"/>
  <c r="E212" i="1"/>
  <c r="E218" i="1"/>
  <c r="E226" i="1"/>
  <c r="E233" i="1"/>
  <c r="E240" i="1"/>
  <c r="E248" i="1"/>
  <c r="E254" i="1"/>
  <c r="E261" i="1"/>
  <c r="E269" i="1"/>
  <c r="E276" i="1"/>
  <c r="E282" i="1"/>
  <c r="E290" i="1"/>
  <c r="E297" i="1"/>
  <c r="E304" i="1"/>
  <c r="E312" i="1"/>
  <c r="E318" i="1"/>
  <c r="E325" i="1"/>
  <c r="E333" i="1"/>
  <c r="F7" i="1"/>
  <c r="F13" i="1"/>
  <c r="F21" i="1"/>
  <c r="F28" i="1"/>
  <c r="F35" i="1"/>
  <c r="F43" i="1"/>
  <c r="F49" i="1"/>
  <c r="F56" i="1"/>
  <c r="F64" i="1"/>
  <c r="F71" i="1"/>
  <c r="F77" i="1"/>
  <c r="F85" i="1"/>
  <c r="F92" i="1"/>
  <c r="F97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E14" i="1"/>
  <c r="E41" i="1"/>
  <c r="E60" i="1"/>
  <c r="E79" i="1"/>
  <c r="E94" i="1"/>
  <c r="E109" i="1"/>
  <c r="E122" i="1"/>
  <c r="E137" i="1"/>
  <c r="E152" i="1"/>
  <c r="E165" i="1"/>
  <c r="E180" i="1"/>
  <c r="E194" i="1"/>
  <c r="E208" i="1"/>
  <c r="E222" i="1"/>
  <c r="E237" i="1"/>
  <c r="E250" i="1"/>
  <c r="E265" i="1"/>
  <c r="E280" i="1"/>
  <c r="E293" i="1"/>
  <c r="E308" i="1"/>
  <c r="E322" i="1"/>
  <c r="F17" i="1"/>
  <c r="F32" i="1"/>
  <c r="F45" i="1"/>
  <c r="F60" i="1"/>
  <c r="F75" i="1"/>
  <c r="F88" i="1"/>
  <c r="F100" i="1"/>
  <c r="F109" i="1"/>
  <c r="F117" i="1"/>
  <c r="F125" i="1"/>
  <c r="F133" i="1"/>
  <c r="F141" i="1"/>
  <c r="F149" i="1"/>
  <c r="F157" i="1"/>
  <c r="F165" i="1"/>
  <c r="F173" i="1"/>
  <c r="F181" i="1"/>
  <c r="F189" i="1"/>
  <c r="F194" i="1"/>
  <c r="F199" i="1"/>
  <c r="F205" i="1"/>
  <c r="F210" i="1"/>
  <c r="F215" i="1"/>
  <c r="F221" i="1"/>
  <c r="F226" i="1"/>
  <c r="F231" i="1"/>
  <c r="F237" i="1"/>
  <c r="F242" i="1"/>
  <c r="F247" i="1"/>
  <c r="F253" i="1"/>
  <c r="F258" i="1"/>
  <c r="F263" i="1"/>
  <c r="F269" i="1"/>
  <c r="F274" i="1"/>
  <c r="F279" i="1"/>
  <c r="F285" i="1"/>
  <c r="F290" i="1"/>
  <c r="F295" i="1"/>
  <c r="F301" i="1"/>
  <c r="F306" i="1"/>
  <c r="F311" i="1"/>
  <c r="F317" i="1"/>
  <c r="F322" i="1"/>
  <c r="F327" i="1"/>
  <c r="F333" i="1"/>
  <c r="E20" i="1"/>
  <c r="E42" i="1"/>
  <c r="E63" i="1"/>
  <c r="E82" i="1"/>
  <c r="E96" i="1"/>
  <c r="E110" i="1"/>
  <c r="E125" i="1"/>
  <c r="E138" i="1"/>
  <c r="E153" i="1"/>
  <c r="E168" i="1"/>
  <c r="E181" i="1"/>
  <c r="E196" i="1"/>
  <c r="E210" i="1"/>
  <c r="E224" i="1"/>
  <c r="E238" i="1"/>
  <c r="E253" i="1"/>
  <c r="E266" i="1"/>
  <c r="E281" i="1"/>
  <c r="E296" i="1"/>
  <c r="E309" i="1"/>
  <c r="E324" i="1"/>
  <c r="F19" i="1"/>
  <c r="F33" i="1"/>
  <c r="F48" i="1"/>
  <c r="F61" i="1"/>
  <c r="F76" i="1"/>
  <c r="F91" i="1"/>
  <c r="F101" i="1"/>
  <c r="F110" i="1"/>
  <c r="F118" i="1"/>
  <c r="F126" i="1"/>
  <c r="F134" i="1"/>
  <c r="F142" i="1"/>
  <c r="F150" i="1"/>
  <c r="F158" i="1"/>
  <c r="F166" i="1"/>
  <c r="F174" i="1"/>
  <c r="F182" i="1"/>
  <c r="F190" i="1"/>
  <c r="F195" i="1"/>
  <c r="F201" i="1"/>
  <c r="F206" i="1"/>
  <c r="F211" i="1"/>
  <c r="F217" i="1"/>
  <c r="F222" i="1"/>
  <c r="F227" i="1"/>
  <c r="F233" i="1"/>
  <c r="F238" i="1"/>
  <c r="F243" i="1"/>
  <c r="F249" i="1"/>
  <c r="F254" i="1"/>
  <c r="F259" i="1"/>
  <c r="F265" i="1"/>
  <c r="F270" i="1"/>
  <c r="F275" i="1"/>
  <c r="F281" i="1"/>
  <c r="F286" i="1"/>
  <c r="F291" i="1"/>
  <c r="F297" i="1"/>
  <c r="F302" i="1"/>
  <c r="F307" i="1"/>
  <c r="F313" i="1"/>
  <c r="F318" i="1"/>
  <c r="F323" i="1"/>
  <c r="F329" i="1"/>
  <c r="F334" i="1"/>
  <c r="G4" i="1"/>
  <c r="H6" i="5"/>
  <c r="H29" i="5" s="1"/>
  <c r="G10" i="5"/>
  <c r="G42" i="5"/>
  <c r="G74" i="5"/>
  <c r="G106" i="5"/>
  <c r="G138" i="5"/>
  <c r="G170" i="5"/>
  <c r="H288" i="3"/>
  <c r="H117" i="3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33" i="2"/>
  <c r="U333" i="3" s="1"/>
  <c r="V333" i="3" s="1"/>
  <c r="W333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335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332" i="5"/>
  <c r="G336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334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C165" i="5"/>
  <c r="C169" i="5"/>
  <c r="C173" i="5"/>
  <c r="C177" i="5"/>
  <c r="C181" i="5"/>
  <c r="C185" i="5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C138" i="5"/>
  <c r="C143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C202" i="5"/>
  <c r="C206" i="5"/>
  <c r="C210" i="5"/>
  <c r="C214" i="5"/>
  <c r="C218" i="5"/>
  <c r="C222" i="5"/>
  <c r="C226" i="5"/>
  <c r="C230" i="5"/>
  <c r="C234" i="5"/>
  <c r="C238" i="5"/>
  <c r="C25" i="5"/>
  <c r="C32" i="5"/>
  <c r="C45" i="5"/>
  <c r="C51" i="5"/>
  <c r="C57" i="5"/>
  <c r="C64" i="5"/>
  <c r="C77" i="5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3" i="5"/>
  <c r="C247" i="5"/>
  <c r="C251" i="5"/>
  <c r="C255" i="5"/>
  <c r="C259" i="5"/>
  <c r="C263" i="5"/>
  <c r="C267" i="5"/>
  <c r="C271" i="5"/>
  <c r="C275" i="5"/>
  <c r="C279" i="5"/>
  <c r="C283" i="5"/>
  <c r="C287" i="5"/>
  <c r="C291" i="5"/>
  <c r="C295" i="5"/>
  <c r="C299" i="5"/>
  <c r="C303" i="5"/>
  <c r="C307" i="5"/>
  <c r="C311" i="5"/>
  <c r="C315" i="5"/>
  <c r="C319" i="5"/>
  <c r="C323" i="5"/>
  <c r="C327" i="5"/>
  <c r="C331" i="5"/>
  <c r="C335" i="5"/>
  <c r="C11" i="5"/>
  <c r="C15" i="5"/>
  <c r="C19" i="5"/>
  <c r="C23" i="5"/>
  <c r="C26" i="5"/>
  <c r="C35" i="5"/>
  <c r="C42" i="5"/>
  <c r="C52" i="5"/>
  <c r="C61" i="5"/>
  <c r="C68" i="5"/>
  <c r="C78" i="5"/>
  <c r="C94" i="5"/>
  <c r="C103" i="5"/>
  <c r="C112" i="5"/>
  <c r="C119" i="5"/>
  <c r="C136" i="5"/>
  <c r="C142" i="5"/>
  <c r="C152" i="5"/>
  <c r="C163" i="5"/>
  <c r="C172" i="5"/>
  <c r="C184" i="5"/>
  <c r="C195" i="5"/>
  <c r="C204" i="5"/>
  <c r="C216" i="5"/>
  <c r="C227" i="5"/>
  <c r="C236" i="5"/>
  <c r="C244" i="5"/>
  <c r="C249" i="5"/>
  <c r="C254" i="5"/>
  <c r="C260" i="5"/>
  <c r="C265" i="5"/>
  <c r="C270" i="5"/>
  <c r="C276" i="5"/>
  <c r="C281" i="5"/>
  <c r="C286" i="5"/>
  <c r="C292" i="5"/>
  <c r="C297" i="5"/>
  <c r="C302" i="5"/>
  <c r="C308" i="5"/>
  <c r="C313" i="5"/>
  <c r="C318" i="5"/>
  <c r="C324" i="5"/>
  <c r="C329" i="5"/>
  <c r="C334" i="5"/>
  <c r="C8" i="5"/>
  <c r="C13" i="5"/>
  <c r="C18" i="5"/>
  <c r="C29" i="5"/>
  <c r="C36" i="5"/>
  <c r="C46" i="5"/>
  <c r="C62" i="5"/>
  <c r="C71" i="5"/>
  <c r="C80" i="5"/>
  <c r="C87" i="5"/>
  <c r="C105" i="5"/>
  <c r="C122" i="5"/>
  <c r="C155" i="5"/>
  <c r="C164" i="5"/>
  <c r="C176" i="5"/>
  <c r="C187" i="5"/>
  <c r="C196" i="5"/>
  <c r="C208" i="5"/>
  <c r="C219" i="5"/>
  <c r="C228" i="5"/>
  <c r="C240" i="5"/>
  <c r="C245" i="5"/>
  <c r="C250" i="5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336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C284" i="5"/>
  <c r="C294" i="5"/>
  <c r="C305" i="5"/>
  <c r="C316" i="5"/>
  <c r="C326" i="5"/>
  <c r="C16" i="5"/>
  <c r="C41" i="5"/>
  <c r="C58" i="5"/>
  <c r="C74" i="5"/>
  <c r="C93" i="5"/>
  <c r="C110" i="5"/>
  <c r="C126" i="5"/>
  <c r="C141" i="5"/>
  <c r="C160" i="5"/>
  <c r="C180" i="5"/>
  <c r="C203" i="5"/>
  <c r="C224" i="5"/>
  <c r="C242" i="5"/>
  <c r="C253" i="5"/>
  <c r="C264" i="5"/>
  <c r="C274" i="5"/>
  <c r="C285" i="5"/>
  <c r="C296" i="5"/>
  <c r="C306" i="5"/>
  <c r="C317" i="5"/>
  <c r="C328" i="5"/>
  <c r="C17" i="5"/>
  <c r="C67" i="5"/>
  <c r="C100" i="5"/>
  <c r="C134" i="5"/>
  <c r="C171" i="5"/>
  <c r="C212" i="5"/>
  <c r="C248" i="5"/>
  <c r="C269" i="5"/>
  <c r="C290" i="5"/>
  <c r="C312" i="5"/>
  <c r="C333" i="5"/>
  <c r="C22" i="5"/>
  <c r="C48" i="5"/>
  <c r="C116" i="5"/>
  <c r="C147" i="5"/>
  <c r="C188" i="5"/>
  <c r="C232" i="5"/>
  <c r="C257" i="5"/>
  <c r="C278" i="5"/>
  <c r="C300" i="5"/>
  <c r="C321" i="5"/>
  <c r="C10" i="5"/>
  <c r="H145" i="3"/>
  <c r="H17" i="3"/>
  <c r="H61" i="3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I333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32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331" i="2"/>
  <c r="I275" i="2"/>
  <c r="I267" i="2"/>
  <c r="I259" i="2"/>
  <c r="I251" i="2"/>
  <c r="I195" i="2"/>
  <c r="I334" i="2"/>
  <c r="I326" i="2"/>
  <c r="I318" i="2"/>
  <c r="I282" i="2"/>
  <c r="I266" i="2"/>
  <c r="I238" i="2"/>
  <c r="H273" i="3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H272" i="3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332" i="2"/>
  <c r="U332" i="3" s="1"/>
  <c r="V332" i="3" s="1"/>
  <c r="W332" i="3" s="1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C258" i="5"/>
  <c r="C192" i="5"/>
  <c r="I11" i="3"/>
  <c r="I12" i="3"/>
  <c r="I20" i="3"/>
  <c r="I28" i="3"/>
  <c r="I36" i="3"/>
  <c r="I44" i="3"/>
  <c r="I52" i="3"/>
  <c r="K52" i="3" s="1"/>
  <c r="I60" i="3"/>
  <c r="I68" i="3"/>
  <c r="I76" i="3"/>
  <c r="I84" i="3"/>
  <c r="I92" i="3"/>
  <c r="I100" i="3"/>
  <c r="I108" i="3"/>
  <c r="I116" i="3"/>
  <c r="K116" i="3" s="1"/>
  <c r="I124" i="3"/>
  <c r="I132" i="3"/>
  <c r="I140" i="3"/>
  <c r="I148" i="3"/>
  <c r="G275" i="1"/>
  <c r="I327" i="3"/>
  <c r="K327" i="3" s="1"/>
  <c r="I322" i="3"/>
  <c r="K322" i="3" s="1"/>
  <c r="I317" i="3"/>
  <c r="K317" i="3" s="1"/>
  <c r="I312" i="3"/>
  <c r="K312" i="3" s="1"/>
  <c r="I303" i="3"/>
  <c r="K303" i="3" s="1"/>
  <c r="I298" i="3"/>
  <c r="I293" i="3"/>
  <c r="I289" i="3"/>
  <c r="I284" i="3"/>
  <c r="I279" i="3"/>
  <c r="K279" i="3" s="1"/>
  <c r="I274" i="3"/>
  <c r="K274" i="3" s="1"/>
  <c r="I269" i="3"/>
  <c r="K269" i="3" s="1"/>
  <c r="I264" i="3"/>
  <c r="I260" i="3"/>
  <c r="K260" i="3" s="1"/>
  <c r="I255" i="3"/>
  <c r="K255" i="3" s="1"/>
  <c r="I249" i="3"/>
  <c r="I244" i="3"/>
  <c r="I240" i="3"/>
  <c r="I234" i="3"/>
  <c r="I229" i="3"/>
  <c r="K229" i="3" s="1"/>
  <c r="I225" i="3"/>
  <c r="I220" i="3"/>
  <c r="I215" i="3"/>
  <c r="K215" i="3" s="1"/>
  <c r="I210" i="3"/>
  <c r="K210" i="3" s="1"/>
  <c r="I205" i="3"/>
  <c r="K205" i="3" s="1"/>
  <c r="I201" i="3"/>
  <c r="I196" i="3"/>
  <c r="K196" i="3" s="1"/>
  <c r="I192" i="3"/>
  <c r="I183" i="3"/>
  <c r="I178" i="3"/>
  <c r="I173" i="3"/>
  <c r="K173" i="3" s="1"/>
  <c r="I169" i="3"/>
  <c r="I164" i="3"/>
  <c r="K164" i="3" s="1"/>
  <c r="I160" i="3"/>
  <c r="I151" i="3"/>
  <c r="I141" i="3"/>
  <c r="I129" i="3"/>
  <c r="I120" i="3"/>
  <c r="I109" i="3"/>
  <c r="K109" i="3" s="1"/>
  <c r="I97" i="3"/>
  <c r="I88" i="3"/>
  <c r="K88" i="3" s="1"/>
  <c r="I77" i="3"/>
  <c r="I65" i="3"/>
  <c r="I56" i="3"/>
  <c r="K56" i="3" s="1"/>
  <c r="I45" i="3"/>
  <c r="I33" i="3"/>
  <c r="I24" i="3"/>
  <c r="K24" i="3" s="1"/>
  <c r="I13" i="3"/>
  <c r="K13" i="3" s="1"/>
  <c r="G47" i="1"/>
  <c r="G223" i="1"/>
  <c r="G247" i="1"/>
  <c r="G7" i="1"/>
  <c r="G217" i="1"/>
  <c r="G270" i="1"/>
  <c r="G164" i="1"/>
  <c r="G262" i="1"/>
  <c r="G291" i="1"/>
  <c r="E7" i="1"/>
  <c r="E8" i="1"/>
  <c r="E13" i="1"/>
  <c r="E18" i="1"/>
  <c r="E24" i="1"/>
  <c r="E29" i="1"/>
  <c r="E34" i="1"/>
  <c r="E40" i="1"/>
  <c r="E45" i="1"/>
  <c r="E49" i="1"/>
  <c r="E53" i="1"/>
  <c r="E57" i="1"/>
  <c r="E61" i="1"/>
  <c r="E65" i="1"/>
  <c r="E69" i="1"/>
  <c r="E73" i="1"/>
  <c r="E77" i="1"/>
  <c r="E81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F6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8" i="1"/>
  <c r="E72" i="1"/>
  <c r="E67" i="1"/>
  <c r="E62" i="1"/>
  <c r="E56" i="1"/>
  <c r="E51" i="1"/>
  <c r="E46" i="1"/>
  <c r="E38" i="1"/>
  <c r="E32" i="1"/>
  <c r="E25" i="1"/>
  <c r="E17" i="1"/>
  <c r="E10" i="1"/>
  <c r="K236" i="5"/>
  <c r="K212" i="5"/>
  <c r="K152" i="5"/>
  <c r="K96" i="5"/>
  <c r="K76" i="5"/>
  <c r="K44" i="5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35" i="5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K244" i="5"/>
  <c r="K220" i="5"/>
  <c r="K196" i="5"/>
  <c r="K112" i="5"/>
  <c r="K88" i="5"/>
  <c r="K80" i="5"/>
  <c r="K20" i="5"/>
  <c r="H300" i="3"/>
  <c r="H204" i="3"/>
  <c r="H168" i="3"/>
  <c r="H335" i="3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34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K324" i="5"/>
  <c r="K264" i="5"/>
  <c r="K192" i="5"/>
  <c r="K92" i="5"/>
  <c r="H282" i="3"/>
  <c r="H250" i="3"/>
  <c r="H335" i="2"/>
  <c r="U335" i="3" s="1"/>
  <c r="V335" i="3" s="1"/>
  <c r="W335" i="3" s="1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34" i="2"/>
  <c r="U334" i="3" s="1"/>
  <c r="V334" i="3" s="1"/>
  <c r="W334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U8" i="3"/>
  <c r="V8" i="3" s="1"/>
  <c r="W8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332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333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336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K146" i="3" s="1"/>
  <c r="I143" i="3"/>
  <c r="I138" i="3"/>
  <c r="I135" i="3"/>
  <c r="K135" i="3" s="1"/>
  <c r="I130" i="3"/>
  <c r="K130" i="3" s="1"/>
  <c r="I127" i="3"/>
  <c r="K127" i="3" s="1"/>
  <c r="I122" i="3"/>
  <c r="K122" i="3" s="1"/>
  <c r="I119" i="3"/>
  <c r="K119" i="3" s="1"/>
  <c r="I114" i="3"/>
  <c r="K114" i="3" s="1"/>
  <c r="I111" i="3"/>
  <c r="K111" i="3" s="1"/>
  <c r="I106" i="3"/>
  <c r="K106" i="3" s="1"/>
  <c r="I103" i="3"/>
  <c r="K103" i="3" s="1"/>
  <c r="I98" i="3"/>
  <c r="K98" i="3" s="1"/>
  <c r="I95" i="3"/>
  <c r="K95" i="3" s="1"/>
  <c r="I90" i="3"/>
  <c r="K90" i="3" s="1"/>
  <c r="I87" i="3"/>
  <c r="K87" i="3" s="1"/>
  <c r="I82" i="3"/>
  <c r="K82" i="3" s="1"/>
  <c r="I79" i="3"/>
  <c r="K79" i="3" s="1"/>
  <c r="I74" i="3"/>
  <c r="K74" i="3" s="1"/>
  <c r="I71" i="3"/>
  <c r="K71" i="3" s="1"/>
  <c r="I66" i="3"/>
  <c r="K66" i="3" s="1"/>
  <c r="I63" i="3"/>
  <c r="K63" i="3" s="1"/>
  <c r="I58" i="3"/>
  <c r="K58" i="3" s="1"/>
  <c r="I55" i="3"/>
  <c r="K55" i="3" s="1"/>
  <c r="I50" i="3"/>
  <c r="K50" i="3" s="1"/>
  <c r="I47" i="3"/>
  <c r="K47" i="3" s="1"/>
  <c r="I42" i="3"/>
  <c r="K42" i="3" s="1"/>
  <c r="I39" i="3"/>
  <c r="K39" i="3" s="1"/>
  <c r="I34" i="3"/>
  <c r="K34" i="3" s="1"/>
  <c r="I31" i="3"/>
  <c r="K31" i="3" s="1"/>
  <c r="I26" i="3"/>
  <c r="K26" i="3" s="1"/>
  <c r="I23" i="3"/>
  <c r="K23" i="3" s="1"/>
  <c r="I18" i="3"/>
  <c r="K18" i="3" s="1"/>
  <c r="I15" i="3"/>
  <c r="I10" i="3"/>
  <c r="K10" i="3" s="1"/>
  <c r="I7" i="3"/>
  <c r="K7" i="3" s="1"/>
  <c r="H93" i="5"/>
  <c r="H153" i="5"/>
  <c r="H66" i="5"/>
  <c r="H284" i="5"/>
  <c r="H254" i="5"/>
  <c r="H26" i="5"/>
  <c r="H202" i="5"/>
  <c r="H244" i="5"/>
  <c r="I6" i="3"/>
  <c r="K6" i="3" s="1"/>
  <c r="I334" i="3"/>
  <c r="K334" i="3" s="1"/>
  <c r="I331" i="3"/>
  <c r="K331" i="3" s="1"/>
  <c r="I326" i="3"/>
  <c r="K326" i="3" s="1"/>
  <c r="I323" i="3"/>
  <c r="K323" i="3" s="1"/>
  <c r="I318" i="3"/>
  <c r="K318" i="3" s="1"/>
  <c r="I315" i="3"/>
  <c r="K315" i="3" s="1"/>
  <c r="I310" i="3"/>
  <c r="K310" i="3" s="1"/>
  <c r="I307" i="3"/>
  <c r="K307" i="3" s="1"/>
  <c r="I302" i="3"/>
  <c r="K302" i="3" s="1"/>
  <c r="I299" i="3"/>
  <c r="K299" i="3" s="1"/>
  <c r="I294" i="3"/>
  <c r="K294" i="3" s="1"/>
  <c r="I291" i="3"/>
  <c r="K291" i="3" s="1"/>
  <c r="I286" i="3"/>
  <c r="K286" i="3" s="1"/>
  <c r="I283" i="3"/>
  <c r="K283" i="3" s="1"/>
  <c r="I278" i="3"/>
  <c r="K278" i="3" s="1"/>
  <c r="I275" i="3"/>
  <c r="K275" i="3" s="1"/>
  <c r="I270" i="3"/>
  <c r="K270" i="3" s="1"/>
  <c r="I267" i="3"/>
  <c r="K267" i="3" s="1"/>
  <c r="I262" i="3"/>
  <c r="K262" i="3" s="1"/>
  <c r="I259" i="3"/>
  <c r="K259" i="3" s="1"/>
  <c r="I254" i="3"/>
  <c r="K254" i="3" s="1"/>
  <c r="I251" i="3"/>
  <c r="K251" i="3" s="1"/>
  <c r="I246" i="3"/>
  <c r="K246" i="3" s="1"/>
  <c r="I243" i="3"/>
  <c r="K243" i="3" s="1"/>
  <c r="I238" i="3"/>
  <c r="K238" i="3" s="1"/>
  <c r="I235" i="3"/>
  <c r="K235" i="3" s="1"/>
  <c r="I230" i="3"/>
  <c r="K230" i="3" s="1"/>
  <c r="I227" i="3"/>
  <c r="K227" i="3" s="1"/>
  <c r="I222" i="3"/>
  <c r="K222" i="3" s="1"/>
  <c r="I219" i="3"/>
  <c r="K219" i="3" s="1"/>
  <c r="I214" i="3"/>
  <c r="K214" i="3" s="1"/>
  <c r="I211" i="3"/>
  <c r="K211" i="3" s="1"/>
  <c r="I206" i="3"/>
  <c r="K206" i="3" s="1"/>
  <c r="I203" i="3"/>
  <c r="K203" i="3" s="1"/>
  <c r="I198" i="3"/>
  <c r="K198" i="3" s="1"/>
  <c r="I195" i="3"/>
  <c r="K195" i="3" s="1"/>
  <c r="I190" i="3"/>
  <c r="K190" i="3" s="1"/>
  <c r="I187" i="3"/>
  <c r="K187" i="3" s="1"/>
  <c r="I182" i="3"/>
  <c r="K182" i="3" s="1"/>
  <c r="I179" i="3"/>
  <c r="K179" i="3" s="1"/>
  <c r="I174" i="3"/>
  <c r="K174" i="3" s="1"/>
  <c r="I171" i="3"/>
  <c r="K171" i="3" s="1"/>
  <c r="I166" i="3"/>
  <c r="K166" i="3" s="1"/>
  <c r="I163" i="3"/>
  <c r="K163" i="3" s="1"/>
  <c r="I158" i="3"/>
  <c r="K158" i="3" s="1"/>
  <c r="I155" i="3"/>
  <c r="K155" i="3" s="1"/>
  <c r="I150" i="3"/>
  <c r="K150" i="3" s="1"/>
  <c r="I147" i="3"/>
  <c r="K147" i="3" s="1"/>
  <c r="I142" i="3"/>
  <c r="K142" i="3" s="1"/>
  <c r="I139" i="3"/>
  <c r="K139" i="3" s="1"/>
  <c r="I134" i="3"/>
  <c r="K134" i="3" s="1"/>
  <c r="I131" i="3"/>
  <c r="K131" i="3" s="1"/>
  <c r="I126" i="3"/>
  <c r="K126" i="3" s="1"/>
  <c r="I123" i="3"/>
  <c r="K123" i="3" s="1"/>
  <c r="I118" i="3"/>
  <c r="K118" i="3" s="1"/>
  <c r="I115" i="3"/>
  <c r="K115" i="3" s="1"/>
  <c r="I110" i="3"/>
  <c r="K110" i="3" s="1"/>
  <c r="I107" i="3"/>
  <c r="K107" i="3" s="1"/>
  <c r="I102" i="3"/>
  <c r="K102" i="3" s="1"/>
  <c r="I99" i="3"/>
  <c r="K99" i="3" s="1"/>
  <c r="I94" i="3"/>
  <c r="K94" i="3" s="1"/>
  <c r="I91" i="3"/>
  <c r="K91" i="3" s="1"/>
  <c r="I86" i="3"/>
  <c r="K86" i="3" s="1"/>
  <c r="I83" i="3"/>
  <c r="K83" i="3" s="1"/>
  <c r="I78" i="3"/>
  <c r="K78" i="3" s="1"/>
  <c r="I75" i="3"/>
  <c r="K75" i="3" s="1"/>
  <c r="I70" i="3"/>
  <c r="K70" i="3" s="1"/>
  <c r="I67" i="3"/>
  <c r="K67" i="3" s="1"/>
  <c r="I62" i="3"/>
  <c r="I59" i="3"/>
  <c r="K59" i="3" s="1"/>
  <c r="I54" i="3"/>
  <c r="K54" i="3" s="1"/>
  <c r="I51" i="3"/>
  <c r="K51" i="3" s="1"/>
  <c r="I46" i="3"/>
  <c r="K46" i="3" s="1"/>
  <c r="I43" i="3"/>
  <c r="K43" i="3" s="1"/>
  <c r="I38" i="3"/>
  <c r="K38" i="3" s="1"/>
  <c r="I35" i="3"/>
  <c r="K35" i="3" s="1"/>
  <c r="I30" i="3"/>
  <c r="K30" i="3" s="1"/>
  <c r="I27" i="3"/>
  <c r="K27" i="3" s="1"/>
  <c r="I22" i="3"/>
  <c r="K22" i="3" s="1"/>
  <c r="I19" i="3"/>
  <c r="K19" i="3" s="1"/>
  <c r="I14" i="3"/>
  <c r="K14" i="3" s="1"/>
  <c r="G16" i="1"/>
  <c r="G20" i="1"/>
  <c r="G24" i="1"/>
  <c r="G36" i="1"/>
  <c r="G40" i="1"/>
  <c r="G48" i="1"/>
  <c r="G56" i="1"/>
  <c r="G64" i="1"/>
  <c r="G68" i="1"/>
  <c r="G80" i="1"/>
  <c r="G84" i="1"/>
  <c r="G88" i="1"/>
  <c r="G100" i="1"/>
  <c r="G104" i="1"/>
  <c r="G112" i="1"/>
  <c r="G120" i="1"/>
  <c r="G128" i="1"/>
  <c r="G132" i="1"/>
  <c r="G144" i="1"/>
  <c r="G148" i="1"/>
  <c r="G152" i="1"/>
  <c r="G6" i="1"/>
  <c r="G10" i="1"/>
  <c r="G18" i="1"/>
  <c r="G26" i="1"/>
  <c r="G34" i="1"/>
  <c r="G38" i="1"/>
  <c r="G50" i="1"/>
  <c r="G54" i="1"/>
  <c r="G58" i="1"/>
  <c r="G70" i="1"/>
  <c r="G74" i="1"/>
  <c r="G82" i="1"/>
  <c r="G90" i="1"/>
  <c r="G98" i="1"/>
  <c r="G102" i="1"/>
  <c r="G114" i="1"/>
  <c r="G118" i="1"/>
  <c r="G122" i="1"/>
  <c r="G134" i="1"/>
  <c r="G138" i="1"/>
  <c r="G146" i="1"/>
  <c r="G154" i="1"/>
  <c r="G162" i="1"/>
  <c r="G166" i="1"/>
  <c r="G178" i="1"/>
  <c r="G182" i="1"/>
  <c r="G186" i="1"/>
  <c r="G198" i="1"/>
  <c r="G202" i="1"/>
  <c r="G210" i="1"/>
  <c r="G218" i="1"/>
  <c r="G333" i="1"/>
  <c r="G329" i="1"/>
  <c r="G317" i="1"/>
  <c r="G313" i="1"/>
  <c r="G309" i="1"/>
  <c r="G297" i="1"/>
  <c r="G293" i="1"/>
  <c r="G285" i="1"/>
  <c r="G277" i="1"/>
  <c r="G269" i="1"/>
  <c r="G265" i="1"/>
  <c r="G253" i="1"/>
  <c r="G249" i="1"/>
  <c r="G245" i="1"/>
  <c r="G233" i="1"/>
  <c r="G229" i="1"/>
  <c r="G221" i="1"/>
  <c r="G211" i="1"/>
  <c r="G200" i="1"/>
  <c r="G195" i="1"/>
  <c r="G179" i="1"/>
  <c r="G173" i="1"/>
  <c r="G168" i="1"/>
  <c r="G147" i="1"/>
  <c r="G139" i="1"/>
  <c r="G123" i="1"/>
  <c r="G107" i="1"/>
  <c r="G91" i="1"/>
  <c r="G83" i="1"/>
  <c r="G59" i="1"/>
  <c r="G51" i="1"/>
  <c r="G43" i="1"/>
  <c r="G19" i="1"/>
  <c r="G11" i="1"/>
  <c r="G332" i="1"/>
  <c r="G324" i="1"/>
  <c r="G316" i="1"/>
  <c r="G312" i="1"/>
  <c r="G300" i="1"/>
  <c r="G296" i="1"/>
  <c r="G292" i="1"/>
  <c r="G280" i="1"/>
  <c r="G276" i="1"/>
  <c r="G268" i="1"/>
  <c r="G260" i="1"/>
  <c r="G256" i="1"/>
  <c r="G252" i="1"/>
  <c r="G244" i="1"/>
  <c r="G240" i="1"/>
  <c r="G236" i="1"/>
  <c r="G228" i="1"/>
  <c r="G224" i="1"/>
  <c r="G220" i="1"/>
  <c r="G209" i="1"/>
  <c r="G204" i="1"/>
  <c r="G199" i="1"/>
  <c r="G188" i="1"/>
  <c r="G183" i="1"/>
  <c r="G177" i="1"/>
  <c r="G167" i="1"/>
  <c r="G161" i="1"/>
  <c r="G153" i="1"/>
  <c r="G137" i="1"/>
  <c r="G129" i="1"/>
  <c r="G121" i="1"/>
  <c r="G105" i="1"/>
  <c r="G97" i="1"/>
  <c r="G89" i="1"/>
  <c r="G73" i="1"/>
  <c r="G65" i="1"/>
  <c r="G57" i="1"/>
  <c r="G41" i="1"/>
  <c r="G33" i="1"/>
  <c r="G25" i="1"/>
  <c r="G9" i="1"/>
  <c r="E43" i="1"/>
  <c r="E39" i="1"/>
  <c r="E35" i="1"/>
  <c r="E31" i="1"/>
  <c r="E27" i="1"/>
  <c r="E23" i="1"/>
  <c r="E19" i="1"/>
  <c r="E15" i="1"/>
  <c r="E11" i="1"/>
  <c r="K7" i="5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Z282" i="5" l="1"/>
  <c r="T283" i="5"/>
  <c r="Z218" i="5"/>
  <c r="T219" i="5"/>
  <c r="Z155" i="5"/>
  <c r="T155" i="5"/>
  <c r="Z83" i="5"/>
  <c r="T83" i="5"/>
  <c r="Z330" i="5"/>
  <c r="T330" i="5"/>
  <c r="Z244" i="5"/>
  <c r="T246" i="5"/>
  <c r="Z158" i="5"/>
  <c r="T158" i="5"/>
  <c r="Z74" i="5"/>
  <c r="T74" i="5"/>
  <c r="Z321" i="5"/>
  <c r="T321" i="5"/>
  <c r="Z231" i="5"/>
  <c r="T233" i="5"/>
  <c r="Z149" i="5"/>
  <c r="T149" i="5"/>
  <c r="Z65" i="5"/>
  <c r="T65" i="5"/>
  <c r="Z312" i="5"/>
  <c r="T312" i="5"/>
  <c r="Z250" i="5"/>
  <c r="T228" i="5"/>
  <c r="Z144" i="5"/>
  <c r="T144" i="5"/>
  <c r="Z56" i="5"/>
  <c r="T56" i="5"/>
  <c r="Z87" i="5"/>
  <c r="T87" i="5"/>
  <c r="Z23" i="5"/>
  <c r="T23" i="5"/>
  <c r="Z272" i="5"/>
  <c r="T274" i="5"/>
  <c r="Z209" i="5"/>
  <c r="T210" i="5"/>
  <c r="Z146" i="5"/>
  <c r="T146" i="5"/>
  <c r="Z82" i="5"/>
  <c r="T82" i="5"/>
  <c r="Z18" i="5"/>
  <c r="T18" i="5"/>
  <c r="Z284" i="5"/>
  <c r="T285" i="5"/>
  <c r="Z220" i="5"/>
  <c r="T221" i="5"/>
  <c r="Z157" i="5"/>
  <c r="T157" i="5"/>
  <c r="Z93" i="5"/>
  <c r="T93" i="5"/>
  <c r="Z29" i="5"/>
  <c r="T29" i="5"/>
  <c r="Z300" i="5"/>
  <c r="T300" i="5"/>
  <c r="Z234" i="5"/>
  <c r="T236" i="5"/>
  <c r="Z171" i="5"/>
  <c r="T172" i="5"/>
  <c r="Z108" i="5"/>
  <c r="T108" i="5"/>
  <c r="Z44" i="5"/>
  <c r="T44" i="5"/>
  <c r="Z116" i="5"/>
  <c r="T116" i="5"/>
  <c r="Z230" i="5"/>
  <c r="T232" i="5"/>
  <c r="Z9" i="5"/>
  <c r="T9" i="5"/>
  <c r="Z121" i="5"/>
  <c r="T121" i="5"/>
  <c r="Z239" i="5"/>
  <c r="T241" i="5"/>
  <c r="Z22" i="5"/>
  <c r="T22" i="5"/>
  <c r="Z134" i="5"/>
  <c r="T134" i="5"/>
  <c r="Z247" i="5"/>
  <c r="T250" i="5"/>
  <c r="Z31" i="5"/>
  <c r="T31" i="5"/>
  <c r="Z135" i="5"/>
  <c r="T135" i="5"/>
  <c r="Z222" i="5"/>
  <c r="T223" i="5"/>
  <c r="Z307" i="5"/>
  <c r="T307" i="5"/>
  <c r="Z8" i="5"/>
  <c r="T8" i="5"/>
  <c r="Z128" i="5"/>
  <c r="T128" i="5"/>
  <c r="Z277" i="5"/>
  <c r="T240" i="5"/>
  <c r="Z17" i="5"/>
  <c r="T17" i="5"/>
  <c r="Z133" i="5"/>
  <c r="T133" i="5"/>
  <c r="Z243" i="5"/>
  <c r="T245" i="5"/>
  <c r="Z26" i="5"/>
  <c r="T26" i="5"/>
  <c r="Z142" i="5"/>
  <c r="T142" i="5"/>
  <c r="Z252" i="5"/>
  <c r="T254" i="5"/>
  <c r="Z35" i="5"/>
  <c r="T35" i="5"/>
  <c r="Z143" i="5"/>
  <c r="T143" i="5"/>
  <c r="Z226" i="5"/>
  <c r="T227" i="5"/>
  <c r="Z311" i="5"/>
  <c r="T311" i="5"/>
  <c r="K45" i="3"/>
  <c r="K129" i="3"/>
  <c r="K183" i="3"/>
  <c r="K225" i="3"/>
  <c r="K244" i="3"/>
  <c r="K264" i="3"/>
  <c r="K284" i="3"/>
  <c r="K132" i="3"/>
  <c r="K100" i="3"/>
  <c r="K68" i="3"/>
  <c r="K36" i="3"/>
  <c r="K11" i="3"/>
  <c r="Z53" i="5"/>
  <c r="T53" i="5"/>
  <c r="Z173" i="5"/>
  <c r="T174" i="5"/>
  <c r="Z253" i="5"/>
  <c r="T255" i="5"/>
  <c r="Z279" i="5"/>
  <c r="T280" i="5"/>
  <c r="Z70" i="5"/>
  <c r="T70" i="5"/>
  <c r="Z174" i="5"/>
  <c r="T175" i="5"/>
  <c r="Z323" i="5"/>
  <c r="T323" i="5"/>
  <c r="Z151" i="5"/>
  <c r="T151" i="5"/>
  <c r="Z269" i="5"/>
  <c r="T270" i="5"/>
  <c r="Z42" i="5"/>
  <c r="T42" i="5"/>
  <c r="Z145" i="5"/>
  <c r="T145" i="5"/>
  <c r="Z254" i="5"/>
  <c r="T256" i="5"/>
  <c r="Z24" i="5"/>
  <c r="T24" i="5"/>
  <c r="Z190" i="5"/>
  <c r="T191" i="5"/>
  <c r="Z318" i="5"/>
  <c r="T318" i="5"/>
  <c r="Z90" i="5"/>
  <c r="T90" i="5"/>
  <c r="Z196" i="5"/>
  <c r="T197" i="5"/>
  <c r="Z304" i="5"/>
  <c r="T304" i="5"/>
  <c r="Z72" i="5"/>
  <c r="T72" i="5"/>
  <c r="K105" i="3"/>
  <c r="K184" i="3"/>
  <c r="K239" i="3"/>
  <c r="K295" i="3"/>
  <c r="Z328" i="5"/>
  <c r="T328" i="5"/>
  <c r="K305" i="3"/>
  <c r="K277" i="3"/>
  <c r="K248" i="3"/>
  <c r="K221" i="3"/>
  <c r="K193" i="3"/>
  <c r="K167" i="3"/>
  <c r="K128" i="3"/>
  <c r="K72" i="3"/>
  <c r="K16" i="3"/>
  <c r="K316" i="3"/>
  <c r="K290" i="3"/>
  <c r="K261" i="3"/>
  <c r="K204" i="3"/>
  <c r="K177" i="3"/>
  <c r="K137" i="3"/>
  <c r="K81" i="3"/>
  <c r="K25" i="3"/>
  <c r="Z294" i="5"/>
  <c r="T295" i="5"/>
  <c r="Z215" i="5"/>
  <c r="T216" i="5"/>
  <c r="Z227" i="5"/>
  <c r="T229" i="5"/>
  <c r="K194" i="3"/>
  <c r="K332" i="3"/>
  <c r="K32" i="3"/>
  <c r="K188" i="3"/>
  <c r="K73" i="3"/>
  <c r="K161" i="3"/>
  <c r="K265" i="3"/>
  <c r="K89" i="3"/>
  <c r="K313" i="3"/>
  <c r="Z14" i="5"/>
  <c r="T14" i="5"/>
  <c r="K231" i="3"/>
  <c r="K300" i="3"/>
  <c r="K280" i="3"/>
  <c r="K232" i="3"/>
  <c r="Z15" i="5"/>
  <c r="T15" i="5"/>
  <c r="Z331" i="5"/>
  <c r="T331" i="5"/>
  <c r="Z265" i="5"/>
  <c r="T267" i="5"/>
  <c r="Z202" i="5"/>
  <c r="T203" i="5"/>
  <c r="Z139" i="5"/>
  <c r="T139" i="5"/>
  <c r="Z63" i="5"/>
  <c r="T63" i="5"/>
  <c r="Z310" i="5"/>
  <c r="T310" i="5"/>
  <c r="Z221" i="5"/>
  <c r="T222" i="5"/>
  <c r="Z138" i="5"/>
  <c r="T138" i="5"/>
  <c r="Z54" i="5"/>
  <c r="T54" i="5"/>
  <c r="Z296" i="5"/>
  <c r="T297" i="5"/>
  <c r="Z212" i="5"/>
  <c r="T213" i="5"/>
  <c r="Z129" i="5"/>
  <c r="T129" i="5"/>
  <c r="Z41" i="5"/>
  <c r="T41" i="5"/>
  <c r="Z291" i="5"/>
  <c r="T292" i="5"/>
  <c r="Z207" i="5"/>
  <c r="T208" i="5"/>
  <c r="Z120" i="5"/>
  <c r="T120" i="5"/>
  <c r="Z36" i="5"/>
  <c r="T36" i="5"/>
  <c r="Z71" i="5"/>
  <c r="T71" i="5"/>
  <c r="Z322" i="5"/>
  <c r="T322" i="5"/>
  <c r="Z256" i="5"/>
  <c r="T258" i="5"/>
  <c r="Z193" i="5"/>
  <c r="T194" i="5"/>
  <c r="Z130" i="5"/>
  <c r="T130" i="5"/>
  <c r="Z66" i="5"/>
  <c r="T66" i="5"/>
  <c r="Z333" i="5"/>
  <c r="T333" i="5"/>
  <c r="Z267" i="5"/>
  <c r="T269" i="5"/>
  <c r="Z204" i="5"/>
  <c r="T205" i="5"/>
  <c r="Z141" i="5"/>
  <c r="T141" i="5"/>
  <c r="Z77" i="5"/>
  <c r="T77" i="5"/>
  <c r="Z13" i="5"/>
  <c r="T13" i="5"/>
  <c r="Z283" i="5"/>
  <c r="T284" i="5"/>
  <c r="Z219" i="5"/>
  <c r="T220" i="5"/>
  <c r="Z156" i="5"/>
  <c r="T156" i="5"/>
  <c r="Z92" i="5"/>
  <c r="T92" i="5"/>
  <c r="Z28" i="5"/>
  <c r="T28" i="5"/>
  <c r="Z148" i="5"/>
  <c r="T148" i="5"/>
  <c r="Z258" i="5"/>
  <c r="T260" i="5"/>
  <c r="Z37" i="5"/>
  <c r="T37" i="5"/>
  <c r="Z153" i="5"/>
  <c r="T153" i="5"/>
  <c r="Z263" i="5"/>
  <c r="T265" i="5"/>
  <c r="Z46" i="5"/>
  <c r="T46" i="5"/>
  <c r="Z166" i="5"/>
  <c r="T166" i="5"/>
  <c r="Z276" i="5"/>
  <c r="T278" i="5"/>
  <c r="Z59" i="5"/>
  <c r="T59" i="5"/>
  <c r="Z159" i="5"/>
  <c r="T159" i="5"/>
  <c r="Z241" i="5"/>
  <c r="T243" i="5"/>
  <c r="Z327" i="5"/>
  <c r="T327" i="5"/>
  <c r="Z40" i="5"/>
  <c r="T40" i="5"/>
  <c r="Z152" i="5"/>
  <c r="T152" i="5"/>
  <c r="Z262" i="5"/>
  <c r="T264" i="5"/>
  <c r="Z49" i="5"/>
  <c r="T49" i="5"/>
  <c r="Z161" i="5"/>
  <c r="T161" i="5"/>
  <c r="Z271" i="5"/>
  <c r="T273" i="5"/>
  <c r="Z58" i="5"/>
  <c r="T58" i="5"/>
  <c r="Z169" i="5"/>
  <c r="T170" i="5"/>
  <c r="Z281" i="5"/>
  <c r="T282" i="5"/>
  <c r="Z67" i="5"/>
  <c r="T67" i="5"/>
  <c r="Z163" i="5"/>
  <c r="T163" i="5"/>
  <c r="Z245" i="5"/>
  <c r="T247" i="5"/>
  <c r="Z335" i="5"/>
  <c r="T335" i="5"/>
  <c r="K97" i="3"/>
  <c r="K141" i="3"/>
  <c r="K169" i="3"/>
  <c r="K192" i="3"/>
  <c r="K249" i="3"/>
  <c r="K289" i="3"/>
  <c r="K124" i="3"/>
  <c r="K92" i="3"/>
  <c r="K60" i="3"/>
  <c r="K28" i="3"/>
  <c r="Z48" i="5"/>
  <c r="T48" i="5"/>
  <c r="Z165" i="5"/>
  <c r="T165" i="5"/>
  <c r="Z293" i="5"/>
  <c r="T294" i="5"/>
  <c r="Z57" i="5"/>
  <c r="T57" i="5"/>
  <c r="Z185" i="5"/>
  <c r="T186" i="5"/>
  <c r="Z257" i="5"/>
  <c r="T259" i="5"/>
  <c r="Z278" i="5"/>
  <c r="T279" i="5"/>
  <c r="Z111" i="5"/>
  <c r="T111" i="5"/>
  <c r="Z213" i="5"/>
  <c r="T214" i="5"/>
  <c r="Z313" i="5"/>
  <c r="T313" i="5"/>
  <c r="Z89" i="5"/>
  <c r="T89" i="5"/>
  <c r="Z195" i="5"/>
  <c r="T196" i="5"/>
  <c r="Z319" i="5"/>
  <c r="T319" i="5"/>
  <c r="Z147" i="5"/>
  <c r="T147" i="5"/>
  <c r="Z260" i="5"/>
  <c r="T262" i="5"/>
  <c r="Z38" i="5"/>
  <c r="T38" i="5"/>
  <c r="Z137" i="5"/>
  <c r="T137" i="5"/>
  <c r="Z242" i="5"/>
  <c r="T244" i="5"/>
  <c r="Z20" i="5"/>
  <c r="T20" i="5"/>
  <c r="K21" i="3"/>
  <c r="K136" i="3"/>
  <c r="K197" i="3"/>
  <c r="K252" i="3"/>
  <c r="K308" i="3"/>
  <c r="Z122" i="5"/>
  <c r="T122" i="5"/>
  <c r="K330" i="3"/>
  <c r="K297" i="3"/>
  <c r="K271" i="3"/>
  <c r="K242" i="3"/>
  <c r="K213" i="3"/>
  <c r="K186" i="3"/>
  <c r="K159" i="3"/>
  <c r="K113" i="3"/>
  <c r="K57" i="3"/>
  <c r="K335" i="3"/>
  <c r="K309" i="3"/>
  <c r="K282" i="3"/>
  <c r="K253" i="3"/>
  <c r="K226" i="3"/>
  <c r="K199" i="3"/>
  <c r="K165" i="3"/>
  <c r="K69" i="3"/>
  <c r="K9" i="3"/>
  <c r="Z127" i="5"/>
  <c r="T127" i="5"/>
  <c r="Z214" i="5"/>
  <c r="T215" i="5"/>
  <c r="Z112" i="5"/>
  <c r="T112" i="5"/>
  <c r="K189" i="3"/>
  <c r="K162" i="3"/>
  <c r="K306" i="3"/>
  <c r="K64" i="3"/>
  <c r="K208" i="3"/>
  <c r="K117" i="3"/>
  <c r="K181" i="3"/>
  <c r="K273" i="3"/>
  <c r="K258" i="3"/>
  <c r="K320" i="3"/>
  <c r="Z131" i="5"/>
  <c r="T131" i="5"/>
  <c r="K175" i="3"/>
  <c r="K287" i="3"/>
  <c r="K217" i="3"/>
  <c r="K216" i="3"/>
  <c r="K61" i="3"/>
  <c r="Z223" i="5"/>
  <c r="T224" i="5"/>
  <c r="K138" i="3"/>
  <c r="Z315" i="5"/>
  <c r="T315" i="5"/>
  <c r="Z248" i="5"/>
  <c r="T251" i="5"/>
  <c r="Z186" i="5"/>
  <c r="T187" i="5"/>
  <c r="Z123" i="5"/>
  <c r="T123" i="5"/>
  <c r="Z43" i="5"/>
  <c r="T43" i="5"/>
  <c r="Z285" i="5"/>
  <c r="T286" i="5"/>
  <c r="Z201" i="5"/>
  <c r="T202" i="5"/>
  <c r="Z118" i="5"/>
  <c r="T118" i="5"/>
  <c r="Z30" i="5"/>
  <c r="T30" i="5"/>
  <c r="Z275" i="5"/>
  <c r="T277" i="5"/>
  <c r="Z192" i="5"/>
  <c r="T193" i="5"/>
  <c r="Z105" i="5"/>
  <c r="T105" i="5"/>
  <c r="Z21" i="5"/>
  <c r="T21" i="5"/>
  <c r="Z270" i="5"/>
  <c r="T272" i="5"/>
  <c r="Z183" i="5"/>
  <c r="T184" i="5"/>
  <c r="Z298" i="5"/>
  <c r="T100" i="5"/>
  <c r="Z16" i="5"/>
  <c r="T16" i="5"/>
  <c r="Z55" i="5"/>
  <c r="T55" i="5"/>
  <c r="Z306" i="5"/>
  <c r="T306" i="5"/>
  <c r="Z240" i="5"/>
  <c r="T242" i="5"/>
  <c r="Z177" i="5"/>
  <c r="T178" i="5"/>
  <c r="Z114" i="5"/>
  <c r="T114" i="5"/>
  <c r="Z50" i="5"/>
  <c r="T50" i="5"/>
  <c r="Z317" i="5"/>
  <c r="T317" i="5"/>
  <c r="Z251" i="5"/>
  <c r="T253" i="5"/>
  <c r="Z188" i="5"/>
  <c r="T189" i="5"/>
  <c r="Z125" i="5"/>
  <c r="T125" i="5"/>
  <c r="Z61" i="5"/>
  <c r="T61" i="5"/>
  <c r="Z332" i="5"/>
  <c r="T332" i="5"/>
  <c r="Z266" i="5"/>
  <c r="T268" i="5"/>
  <c r="Z203" i="5"/>
  <c r="T204" i="5"/>
  <c r="Z140" i="5"/>
  <c r="T140" i="5"/>
  <c r="Z76" i="5"/>
  <c r="T76" i="5"/>
  <c r="Z12" i="5"/>
  <c r="T12" i="5"/>
  <c r="Z64" i="5"/>
  <c r="T64" i="5"/>
  <c r="Z175" i="5"/>
  <c r="T176" i="5"/>
  <c r="Z287" i="5"/>
  <c r="T288" i="5"/>
  <c r="Z69" i="5"/>
  <c r="T69" i="5"/>
  <c r="Z180" i="5"/>
  <c r="T181" i="5"/>
  <c r="Z292" i="5"/>
  <c r="T293" i="5"/>
  <c r="Z78" i="5"/>
  <c r="T78" i="5"/>
  <c r="Z189" i="5"/>
  <c r="T190" i="5"/>
  <c r="Z302" i="5"/>
  <c r="T302" i="5"/>
  <c r="Z91" i="5"/>
  <c r="T91" i="5"/>
  <c r="Z178" i="5"/>
  <c r="T179" i="5"/>
  <c r="Z261" i="5"/>
  <c r="T263" i="5"/>
  <c r="Z68" i="5"/>
  <c r="T68" i="5"/>
  <c r="Z179" i="5"/>
  <c r="T180" i="5"/>
  <c r="Z295" i="5"/>
  <c r="T296" i="5"/>
  <c r="Z73" i="5"/>
  <c r="T73" i="5"/>
  <c r="Z184" i="5"/>
  <c r="T185" i="5"/>
  <c r="Z305" i="5"/>
  <c r="T305" i="5"/>
  <c r="Z86" i="5"/>
  <c r="T86" i="5"/>
  <c r="Z197" i="5"/>
  <c r="T198" i="5"/>
  <c r="Z314" i="5"/>
  <c r="T314" i="5"/>
  <c r="Z95" i="5"/>
  <c r="T95" i="5"/>
  <c r="Z182" i="5"/>
  <c r="T183" i="5"/>
  <c r="Z268" i="5"/>
  <c r="T271" i="5"/>
  <c r="K65" i="3"/>
  <c r="K151" i="3"/>
  <c r="K234" i="3"/>
  <c r="K293" i="3"/>
  <c r="K148" i="3"/>
  <c r="K84" i="3"/>
  <c r="K20" i="3"/>
  <c r="Z160" i="5"/>
  <c r="T160" i="5"/>
  <c r="Z280" i="5"/>
  <c r="T281" i="5"/>
  <c r="Z75" i="5"/>
  <c r="T75" i="5"/>
  <c r="Z52" i="5"/>
  <c r="T52" i="5"/>
  <c r="Z176" i="5"/>
  <c r="T177" i="5"/>
  <c r="Z297" i="5"/>
  <c r="T298" i="5"/>
  <c r="Z237" i="5"/>
  <c r="T239" i="5"/>
  <c r="Z51" i="5"/>
  <c r="T51" i="5"/>
  <c r="Z154" i="5"/>
  <c r="T154" i="5"/>
  <c r="Z259" i="5"/>
  <c r="T261" i="5"/>
  <c r="Z33" i="5"/>
  <c r="T33" i="5"/>
  <c r="Z136" i="5"/>
  <c r="T136" i="5"/>
  <c r="Z273" i="5"/>
  <c r="T275" i="5"/>
  <c r="Z99" i="5"/>
  <c r="T99" i="5"/>
  <c r="Z205" i="5"/>
  <c r="T206" i="5"/>
  <c r="Z309" i="5"/>
  <c r="T309" i="5"/>
  <c r="Z81" i="5"/>
  <c r="T81" i="5"/>
  <c r="Z191" i="5"/>
  <c r="T192" i="5"/>
  <c r="Z32" i="5"/>
  <c r="T32" i="5"/>
  <c r="K49" i="3"/>
  <c r="K156" i="3"/>
  <c r="K209" i="3"/>
  <c r="K266" i="3"/>
  <c r="K321" i="3"/>
  <c r="Z210" i="5"/>
  <c r="T211" i="5"/>
  <c r="K319" i="3"/>
  <c r="K292" i="3"/>
  <c r="K263" i="3"/>
  <c r="K236" i="3"/>
  <c r="K207" i="3"/>
  <c r="K180" i="3"/>
  <c r="K153" i="3"/>
  <c r="K101" i="3"/>
  <c r="K41" i="3"/>
  <c r="K329" i="3"/>
  <c r="K304" i="3"/>
  <c r="K276" i="3"/>
  <c r="K247" i="3"/>
  <c r="K218" i="3"/>
  <c r="K191" i="3"/>
  <c r="K157" i="3"/>
  <c r="K53" i="3"/>
  <c r="Z232" i="5"/>
  <c r="T234" i="5"/>
  <c r="Z27" i="5"/>
  <c r="T27" i="5"/>
  <c r="K250" i="3"/>
  <c r="Z224" i="5"/>
  <c r="T225" i="5"/>
  <c r="K104" i="3"/>
  <c r="K272" i="3"/>
  <c r="K17" i="3"/>
  <c r="K145" i="3"/>
  <c r="K245" i="3"/>
  <c r="K154" i="3"/>
  <c r="K328" i="3"/>
  <c r="Z117" i="5"/>
  <c r="T117" i="5"/>
  <c r="K301" i="3"/>
  <c r="K325" i="3"/>
  <c r="K133" i="3"/>
  <c r="K121" i="3"/>
  <c r="K176" i="3"/>
  <c r="Z236" i="5"/>
  <c r="T238" i="5"/>
  <c r="K62" i="3"/>
  <c r="K15" i="3"/>
  <c r="K143" i="3"/>
  <c r="Z299" i="5"/>
  <c r="T299" i="5"/>
  <c r="Z233" i="5"/>
  <c r="T235" i="5"/>
  <c r="Z170" i="5"/>
  <c r="T171" i="5"/>
  <c r="Z107" i="5"/>
  <c r="T107" i="5"/>
  <c r="Z19" i="5"/>
  <c r="T19" i="5"/>
  <c r="Z264" i="5"/>
  <c r="T266" i="5"/>
  <c r="Z181" i="5"/>
  <c r="T182" i="5"/>
  <c r="Z94" i="5"/>
  <c r="T94" i="5"/>
  <c r="Z10" i="5"/>
  <c r="T10" i="5"/>
  <c r="Z255" i="5"/>
  <c r="T257" i="5"/>
  <c r="Z168" i="5"/>
  <c r="T169" i="5"/>
  <c r="Z85" i="5"/>
  <c r="T85" i="5"/>
  <c r="Z336" i="5"/>
  <c r="T336" i="5"/>
  <c r="Z238" i="5"/>
  <c r="T248" i="5"/>
  <c r="Z164" i="5"/>
  <c r="T164" i="5"/>
  <c r="Z80" i="5"/>
  <c r="T80" i="5"/>
  <c r="Z102" i="5"/>
  <c r="T103" i="5"/>
  <c r="Z39" i="5"/>
  <c r="T39" i="5"/>
  <c r="Z289" i="5"/>
  <c r="T290" i="5"/>
  <c r="Z225" i="5"/>
  <c r="T226" i="5"/>
  <c r="Z162" i="5"/>
  <c r="T162" i="5"/>
  <c r="Z98" i="5"/>
  <c r="T98" i="5"/>
  <c r="Z34" i="5"/>
  <c r="T34" i="5"/>
  <c r="Z301" i="5"/>
  <c r="T301" i="5"/>
  <c r="Z235" i="5"/>
  <c r="T237" i="5"/>
  <c r="Z172" i="5"/>
  <c r="T173" i="5"/>
  <c r="Z109" i="5"/>
  <c r="T109" i="5"/>
  <c r="Z45" i="5"/>
  <c r="T45" i="5"/>
  <c r="Z316" i="5"/>
  <c r="T316" i="5"/>
  <c r="Z249" i="5"/>
  <c r="T252" i="5"/>
  <c r="Z187" i="5"/>
  <c r="T188" i="5"/>
  <c r="Z124" i="5"/>
  <c r="T124" i="5"/>
  <c r="Z60" i="5"/>
  <c r="T60" i="5"/>
  <c r="Z88" i="5"/>
  <c r="T88" i="5"/>
  <c r="Z199" i="5"/>
  <c r="T200" i="5"/>
  <c r="Z320" i="5"/>
  <c r="T320" i="5"/>
  <c r="Z97" i="5"/>
  <c r="T97" i="5"/>
  <c r="Z208" i="5"/>
  <c r="T209" i="5"/>
  <c r="Z325" i="5"/>
  <c r="T325" i="5"/>
  <c r="Z106" i="5"/>
  <c r="T106" i="5"/>
  <c r="Z217" i="5"/>
  <c r="T218" i="5"/>
  <c r="Z334" i="5"/>
  <c r="T334" i="5"/>
  <c r="Z115" i="5"/>
  <c r="T115" i="5"/>
  <c r="Z198" i="5"/>
  <c r="T199" i="5"/>
  <c r="Z286" i="5"/>
  <c r="T287" i="5"/>
  <c r="Z96" i="5"/>
  <c r="T96" i="5"/>
  <c r="Z211" i="5"/>
  <c r="T212" i="5"/>
  <c r="Z324" i="5"/>
  <c r="T324" i="5"/>
  <c r="Z100" i="5"/>
  <c r="T101" i="5"/>
  <c r="Z216" i="5"/>
  <c r="T217" i="5"/>
  <c r="Z329" i="5"/>
  <c r="T329" i="5"/>
  <c r="Z110" i="5"/>
  <c r="T110" i="5"/>
  <c r="Z228" i="5"/>
  <c r="T230" i="5"/>
  <c r="T11" i="5"/>
  <c r="Z11" i="5"/>
  <c r="Z119" i="5"/>
  <c r="T119" i="5"/>
  <c r="Z206" i="5"/>
  <c r="T207" i="5"/>
  <c r="Z290" i="5"/>
  <c r="T291" i="5"/>
  <c r="K33" i="3"/>
  <c r="K77" i="3"/>
  <c r="K120" i="3"/>
  <c r="K160" i="3"/>
  <c r="K178" i="3"/>
  <c r="K201" i="3"/>
  <c r="K220" i="3"/>
  <c r="K240" i="3"/>
  <c r="K298" i="3"/>
  <c r="K140" i="3"/>
  <c r="K108" i="3"/>
  <c r="K76" i="3"/>
  <c r="K44" i="3"/>
  <c r="K12" i="3"/>
  <c r="Z274" i="5"/>
  <c r="T276" i="5"/>
  <c r="Z62" i="5"/>
  <c r="T62" i="5"/>
  <c r="Z167" i="5"/>
  <c r="T167" i="5"/>
  <c r="Z104" i="5"/>
  <c r="T168" i="5"/>
  <c r="Z288" i="5"/>
  <c r="T289" i="5"/>
  <c r="Z79" i="5"/>
  <c r="T79" i="5"/>
  <c r="Z194" i="5"/>
  <c r="T195" i="5"/>
  <c r="Z326" i="5"/>
  <c r="T326" i="5"/>
  <c r="Z101" i="5"/>
  <c r="T102" i="5"/>
  <c r="Z200" i="5"/>
  <c r="T201" i="5"/>
  <c r="Z308" i="5"/>
  <c r="T308" i="5"/>
  <c r="Z84" i="5"/>
  <c r="T84" i="5"/>
  <c r="Z229" i="5"/>
  <c r="T231" i="5"/>
  <c r="Z47" i="5"/>
  <c r="T47" i="5"/>
  <c r="Z150" i="5"/>
  <c r="T150" i="5"/>
  <c r="Z246" i="5"/>
  <c r="T249" i="5"/>
  <c r="Z25" i="5"/>
  <c r="T25" i="5"/>
  <c r="Z132" i="5"/>
  <c r="T132" i="5"/>
  <c r="K80" i="3"/>
  <c r="K170" i="3"/>
  <c r="K281" i="3"/>
  <c r="K333" i="3"/>
  <c r="K311" i="3"/>
  <c r="K285" i="3"/>
  <c r="K256" i="3"/>
  <c r="K228" i="3"/>
  <c r="K200" i="3"/>
  <c r="K172" i="3"/>
  <c r="K144" i="3"/>
  <c r="K85" i="3"/>
  <c r="K29" i="3"/>
  <c r="K324" i="3"/>
  <c r="K296" i="3"/>
  <c r="K268" i="3"/>
  <c r="K241" i="3"/>
  <c r="K212" i="3"/>
  <c r="K185" i="3"/>
  <c r="K152" i="3"/>
  <c r="K96" i="3"/>
  <c r="K40" i="3"/>
  <c r="Z113" i="5"/>
  <c r="T113" i="5"/>
  <c r="Z126" i="5"/>
  <c r="T126" i="5"/>
  <c r="K93" i="3"/>
  <c r="K168" i="3"/>
  <c r="K288" i="3"/>
  <c r="K37" i="3"/>
  <c r="K149" i="3"/>
  <c r="K257" i="3"/>
  <c r="K202" i="3"/>
  <c r="Z303" i="5"/>
  <c r="T303" i="5"/>
  <c r="K48" i="3"/>
  <c r="K8" i="3"/>
  <c r="K314" i="3"/>
  <c r="M7" i="5"/>
  <c r="Z7" i="5"/>
  <c r="T7" i="5"/>
  <c r="Z103" i="5"/>
  <c r="T104" i="5"/>
  <c r="L7" i="5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335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36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332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333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320" i="5"/>
  <c r="J298" i="5"/>
  <c r="J277" i="5"/>
  <c r="J256" i="5"/>
  <c r="J228" i="5"/>
  <c r="J187" i="5"/>
  <c r="J122" i="5"/>
  <c r="J71" i="5"/>
  <c r="J29" i="5"/>
  <c r="J334" i="5"/>
  <c r="J313" i="5"/>
  <c r="J292" i="5"/>
  <c r="J270" i="5"/>
  <c r="J249" i="5"/>
  <c r="J216" i="5"/>
  <c r="J172" i="5"/>
  <c r="J136" i="5"/>
  <c r="J94" i="5"/>
  <c r="J52" i="5"/>
  <c r="J23" i="5"/>
  <c r="J335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332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36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333" i="5"/>
  <c r="J248" i="5"/>
  <c r="J100" i="5"/>
  <c r="J317" i="5"/>
  <c r="N317" i="5" s="1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H6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N7" i="5"/>
  <c r="J235" i="5"/>
  <c r="H152" i="3"/>
  <c r="D6" i="12"/>
  <c r="T26" i="3"/>
  <c r="G26" i="3" s="1"/>
  <c r="G336" i="3" s="1"/>
  <c r="C8" i="12"/>
  <c r="B3" i="12"/>
  <c r="V6" i="3"/>
  <c r="W6" i="3" s="1"/>
  <c r="S181" i="3"/>
  <c r="F181" i="3" s="1"/>
  <c r="H181" i="3" s="1"/>
  <c r="H154" i="3"/>
  <c r="H223" i="3"/>
  <c r="M235" i="5"/>
  <c r="M182" i="5"/>
  <c r="M336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333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332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334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M335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G180" i="1"/>
  <c r="G63" i="1"/>
  <c r="G181" i="1"/>
  <c r="G255" i="1"/>
  <c r="G93" i="1"/>
  <c r="G227" i="1"/>
  <c r="G306" i="1"/>
  <c r="G77" i="1"/>
  <c r="G219" i="1"/>
  <c r="G299" i="1"/>
  <c r="G294" i="1"/>
  <c r="G61" i="1"/>
  <c r="G111" i="1"/>
  <c r="G213" i="1"/>
  <c r="G279" i="1"/>
  <c r="G157" i="1"/>
  <c r="G259" i="1"/>
  <c r="G330" i="1"/>
  <c r="G141" i="1"/>
  <c r="G251" i="1"/>
  <c r="G323" i="1"/>
  <c r="G208" i="1"/>
  <c r="G171" i="1"/>
  <c r="G71" i="1"/>
  <c r="G298" i="1"/>
  <c r="G207" i="1"/>
  <c r="G12" i="1"/>
  <c r="G28" i="1"/>
  <c r="G44" i="1"/>
  <c r="G60" i="1"/>
  <c r="G76" i="1"/>
  <c r="G92" i="1"/>
  <c r="G108" i="1"/>
  <c r="G124" i="1"/>
  <c r="G140" i="1"/>
  <c r="G156" i="1"/>
  <c r="G14" i="1"/>
  <c r="G30" i="1"/>
  <c r="G46" i="1"/>
  <c r="G62" i="1"/>
  <c r="G78" i="1"/>
  <c r="G94" i="1"/>
  <c r="G110" i="1"/>
  <c r="G126" i="1"/>
  <c r="G142" i="1"/>
  <c r="G158" i="1"/>
  <c r="G174" i="1"/>
  <c r="G190" i="1"/>
  <c r="G206" i="1"/>
  <c r="G321" i="1"/>
  <c r="G305" i="1"/>
  <c r="G289" i="1"/>
  <c r="G273" i="1"/>
  <c r="G257" i="1"/>
  <c r="G241" i="1"/>
  <c r="G225" i="1"/>
  <c r="G205" i="1"/>
  <c r="G184" i="1"/>
  <c r="G163" i="1"/>
  <c r="G131" i="1"/>
  <c r="G99" i="1"/>
  <c r="G67" i="1"/>
  <c r="G35" i="1"/>
  <c r="G320" i="1"/>
  <c r="G304" i="1"/>
  <c r="G288" i="1"/>
  <c r="G272" i="1"/>
  <c r="H93" i="3"/>
  <c r="H37" i="3"/>
  <c r="H257" i="3"/>
  <c r="G17" i="1"/>
  <c r="G49" i="1"/>
  <c r="G81" i="1"/>
  <c r="G113" i="1"/>
  <c r="G145" i="1"/>
  <c r="G172" i="1"/>
  <c r="G193" i="1"/>
  <c r="G215" i="1"/>
  <c r="G232" i="1"/>
  <c r="G248" i="1"/>
  <c r="G264" i="1"/>
  <c r="G284" i="1"/>
  <c r="G308" i="1"/>
  <c r="G328" i="1"/>
  <c r="G27" i="1"/>
  <c r="G75" i="1"/>
  <c r="G115" i="1"/>
  <c r="G155" i="1"/>
  <c r="G189" i="1"/>
  <c r="G216" i="1"/>
  <c r="G237" i="1"/>
  <c r="G261" i="1"/>
  <c r="G281" i="1"/>
  <c r="G301" i="1"/>
  <c r="G325" i="1"/>
  <c r="G214" i="1"/>
  <c r="G194" i="1"/>
  <c r="G170" i="1"/>
  <c r="G150" i="1"/>
  <c r="G130" i="1"/>
  <c r="G106" i="1"/>
  <c r="G86" i="1"/>
  <c r="G66" i="1"/>
  <c r="G42" i="1"/>
  <c r="G22" i="1"/>
  <c r="G160" i="1"/>
  <c r="G136" i="1"/>
  <c r="G116" i="1"/>
  <c r="G96" i="1"/>
  <c r="G72" i="1"/>
  <c r="G52" i="1"/>
  <c r="G32" i="1"/>
  <c r="G8" i="1"/>
  <c r="G331" i="1"/>
  <c r="G55" i="1"/>
  <c r="G175" i="1"/>
  <c r="G127" i="1"/>
  <c r="H73" i="3"/>
  <c r="H64" i="3"/>
  <c r="H132" i="3"/>
  <c r="L20" i="5"/>
  <c r="L36" i="5"/>
  <c r="H183" i="3"/>
  <c r="L19" i="5"/>
  <c r="L60" i="5"/>
  <c r="L76" i="5"/>
  <c r="N76" i="5" s="1"/>
  <c r="L97" i="5"/>
  <c r="L130" i="5"/>
  <c r="N130" i="5" s="1"/>
  <c r="L149" i="5"/>
  <c r="L183" i="5"/>
  <c r="N183" i="5" s="1"/>
  <c r="L270" i="5"/>
  <c r="L286" i="5"/>
  <c r="N286" i="5" s="1"/>
  <c r="L330" i="5"/>
  <c r="L105" i="5"/>
  <c r="N105" i="5" s="1"/>
  <c r="L127" i="5"/>
  <c r="L146" i="5"/>
  <c r="L43" i="5"/>
  <c r="L99" i="5"/>
  <c r="L113" i="5"/>
  <c r="N113" i="5" s="1"/>
  <c r="L128" i="5"/>
  <c r="N128" i="5" s="1"/>
  <c r="L151" i="5"/>
  <c r="L304" i="5"/>
  <c r="N304" i="5" s="1"/>
  <c r="L178" i="5"/>
  <c r="L15" i="5"/>
  <c r="N15" i="5" s="1"/>
  <c r="L79" i="5"/>
  <c r="N79" i="5" s="1"/>
  <c r="L152" i="5"/>
  <c r="L167" i="5"/>
  <c r="L213" i="5"/>
  <c r="L237" i="5"/>
  <c r="L249" i="5"/>
  <c r="N249" i="5" s="1"/>
  <c r="L273" i="5"/>
  <c r="L321" i="5"/>
  <c r="L207" i="5"/>
  <c r="N207" i="5" s="1"/>
  <c r="L283" i="5"/>
  <c r="N283" i="5" s="1"/>
  <c r="L290" i="5"/>
  <c r="N290" i="5" s="1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N291" i="5" s="1"/>
  <c r="L335" i="5"/>
  <c r="L78" i="5"/>
  <c r="N78" i="5" s="1"/>
  <c r="L306" i="5"/>
  <c r="L275" i="5"/>
  <c r="L16" i="5"/>
  <c r="N16" i="5" s="1"/>
  <c r="L24" i="5"/>
  <c r="N24" i="5" s="1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36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N260" i="5" s="1"/>
  <c r="L312" i="5"/>
  <c r="L336" i="5"/>
  <c r="N336" i="5" s="1"/>
  <c r="H175" i="3"/>
  <c r="L206" i="5"/>
  <c r="L11" i="5"/>
  <c r="L12" i="5"/>
  <c r="N12" i="5" s="1"/>
  <c r="L28" i="5"/>
  <c r="N28" i="5" s="1"/>
  <c r="H247" i="3"/>
  <c r="H191" i="3"/>
  <c r="L210" i="5"/>
  <c r="L41" i="5"/>
  <c r="L70" i="5"/>
  <c r="L89" i="5"/>
  <c r="L104" i="5"/>
  <c r="N104" i="5" s="1"/>
  <c r="L119" i="5"/>
  <c r="L138" i="5"/>
  <c r="L168" i="5"/>
  <c r="N168" i="5" s="1"/>
  <c r="L194" i="5"/>
  <c r="N194" i="5" s="1"/>
  <c r="L234" i="5"/>
  <c r="L242" i="5"/>
  <c r="L278" i="5"/>
  <c r="L298" i="5"/>
  <c r="N298" i="5" s="1"/>
  <c r="L310" i="5"/>
  <c r="L326" i="5"/>
  <c r="N326" i="5" s="1"/>
  <c r="L116" i="5"/>
  <c r="L98" i="5"/>
  <c r="N98" i="5" s="1"/>
  <c r="L112" i="5"/>
  <c r="L135" i="5"/>
  <c r="L176" i="5"/>
  <c r="N176" i="5" s="1"/>
  <c r="L263" i="5"/>
  <c r="N263" i="5" s="1"/>
  <c r="L231" i="5"/>
  <c r="L27" i="5"/>
  <c r="N27" i="5" s="1"/>
  <c r="L106" i="5"/>
  <c r="L121" i="5"/>
  <c r="N121" i="5" s="1"/>
  <c r="L136" i="5"/>
  <c r="L158" i="5"/>
  <c r="L216" i="5"/>
  <c r="N216" i="5" s="1"/>
  <c r="L82" i="5"/>
  <c r="L40" i="5"/>
  <c r="L125" i="5"/>
  <c r="L31" i="5"/>
  <c r="N31" i="5" s="1"/>
  <c r="L63" i="5"/>
  <c r="L197" i="5"/>
  <c r="L233" i="5"/>
  <c r="N233" i="5" s="1"/>
  <c r="L281" i="5"/>
  <c r="L301" i="5"/>
  <c r="N301" i="5" s="1"/>
  <c r="L327" i="5"/>
  <c r="H258" i="3"/>
  <c r="L165" i="5"/>
  <c r="L22" i="5"/>
  <c r="N22" i="5" s="1"/>
  <c r="H180" i="5"/>
  <c r="H323" i="5"/>
  <c r="H126" i="5"/>
  <c r="H30" i="5"/>
  <c r="H140" i="5"/>
  <c r="H241" i="5"/>
  <c r="L10" i="5"/>
  <c r="L18" i="5"/>
  <c r="L26" i="5"/>
  <c r="N26" i="5" s="1"/>
  <c r="L34" i="5"/>
  <c r="H282" i="5"/>
  <c r="H207" i="5"/>
  <c r="H170" i="5"/>
  <c r="H116" i="5"/>
  <c r="H52" i="5"/>
  <c r="H286" i="5"/>
  <c r="H174" i="5"/>
  <c r="H67" i="5"/>
  <c r="H316" i="5"/>
  <c r="H204" i="5"/>
  <c r="H108" i="5"/>
  <c r="H333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N226" i="5" s="1"/>
  <c r="H250" i="5"/>
  <c r="L254" i="5"/>
  <c r="N254" i="5" s="1"/>
  <c r="L262" i="5"/>
  <c r="H298" i="5"/>
  <c r="L314" i="5"/>
  <c r="L322" i="5"/>
  <c r="N322" i="5" s="1"/>
  <c r="H330" i="5"/>
  <c r="L55" i="5"/>
  <c r="N55" i="5" s="1"/>
  <c r="L13" i="5"/>
  <c r="N13" i="5" s="1"/>
  <c r="L45" i="5"/>
  <c r="N45" i="5" s="1"/>
  <c r="L58" i="5"/>
  <c r="L71" i="5"/>
  <c r="L77" i="5"/>
  <c r="L87" i="5"/>
  <c r="N87" i="5" s="1"/>
  <c r="L161" i="5"/>
  <c r="L172" i="5"/>
  <c r="L180" i="5"/>
  <c r="L199" i="5"/>
  <c r="L211" i="5"/>
  <c r="L219" i="5"/>
  <c r="L235" i="5"/>
  <c r="L251" i="5"/>
  <c r="N251" i="5" s="1"/>
  <c r="L259" i="5"/>
  <c r="L267" i="5"/>
  <c r="L279" i="5"/>
  <c r="L299" i="5"/>
  <c r="L307" i="5"/>
  <c r="N307" i="5" s="1"/>
  <c r="L319" i="5"/>
  <c r="N319" i="5" s="1"/>
  <c r="L331" i="5"/>
  <c r="L190" i="5"/>
  <c r="N190" i="5" s="1"/>
  <c r="L33" i="5"/>
  <c r="L49" i="5"/>
  <c r="L68" i="5"/>
  <c r="N68" i="5" s="1"/>
  <c r="L81" i="5"/>
  <c r="L91" i="5"/>
  <c r="N91" i="5" s="1"/>
  <c r="L166" i="5"/>
  <c r="L173" i="5"/>
  <c r="L181" i="5"/>
  <c r="N181" i="5" s="1"/>
  <c r="L192" i="5"/>
  <c r="L208" i="5"/>
  <c r="L228" i="5"/>
  <c r="L248" i="5"/>
  <c r="N248" i="5" s="1"/>
  <c r="L280" i="5"/>
  <c r="L292" i="5"/>
  <c r="L300" i="5"/>
  <c r="L308" i="5"/>
  <c r="N308" i="5" s="1"/>
  <c r="L332" i="5"/>
  <c r="N332" i="5" s="1"/>
  <c r="L47" i="5"/>
  <c r="L129" i="5"/>
  <c r="L137" i="5"/>
  <c r="L159" i="5"/>
  <c r="N159" i="5" s="1"/>
  <c r="L66" i="5"/>
  <c r="N66" i="5" s="1"/>
  <c r="L118" i="5"/>
  <c r="L21" i="5"/>
  <c r="N21" i="5" s="1"/>
  <c r="L53" i="5"/>
  <c r="L88" i="5"/>
  <c r="L100" i="5"/>
  <c r="L189" i="5"/>
  <c r="N189" i="5" s="1"/>
  <c r="L217" i="5"/>
  <c r="L253" i="5"/>
  <c r="N253" i="5" s="1"/>
  <c r="L257" i="5"/>
  <c r="N257" i="5" s="1"/>
  <c r="L269" i="5"/>
  <c r="N269" i="5" s="1"/>
  <c r="L285" i="5"/>
  <c r="L289" i="5"/>
  <c r="L305" i="5"/>
  <c r="L325" i="5"/>
  <c r="H161" i="3"/>
  <c r="L141" i="5"/>
  <c r="N141" i="5" s="1"/>
  <c r="L236" i="5"/>
  <c r="L268" i="5"/>
  <c r="N268" i="5" s="1"/>
  <c r="H313" i="3"/>
  <c r="L154" i="5"/>
  <c r="H8" i="3"/>
  <c r="L191" i="5"/>
  <c r="N191" i="5" s="1"/>
  <c r="H167" i="3"/>
  <c r="L54" i="5"/>
  <c r="L25" i="5"/>
  <c r="L67" i="5"/>
  <c r="L101" i="5"/>
  <c r="N101" i="5" s="1"/>
  <c r="L123" i="5"/>
  <c r="L164" i="5"/>
  <c r="L202" i="5"/>
  <c r="L222" i="5"/>
  <c r="L230" i="5"/>
  <c r="N230" i="5" s="1"/>
  <c r="L250" i="5"/>
  <c r="N250" i="5" s="1"/>
  <c r="L258" i="5"/>
  <c r="N258" i="5" s="1"/>
  <c r="L318" i="5"/>
  <c r="L212" i="5"/>
  <c r="N212" i="5" s="1"/>
  <c r="L23" i="5"/>
  <c r="N23" i="5" s="1"/>
  <c r="L29" i="5"/>
  <c r="L42" i="5"/>
  <c r="N42" i="5" s="1"/>
  <c r="L48" i="5"/>
  <c r="L64" i="5"/>
  <c r="N64" i="5" s="1"/>
  <c r="L74" i="5"/>
  <c r="N74" i="5" s="1"/>
  <c r="L80" i="5"/>
  <c r="N80" i="5" s="1"/>
  <c r="L108" i="5"/>
  <c r="L131" i="5"/>
  <c r="L139" i="5"/>
  <c r="N139" i="5" s="1"/>
  <c r="L157" i="5"/>
  <c r="L169" i="5"/>
  <c r="L184" i="5"/>
  <c r="L203" i="5"/>
  <c r="N203" i="5" s="1"/>
  <c r="L215" i="5"/>
  <c r="L223" i="5"/>
  <c r="L239" i="5"/>
  <c r="L247" i="5"/>
  <c r="L255" i="5"/>
  <c r="N255" i="5" s="1"/>
  <c r="L271" i="5"/>
  <c r="L287" i="5"/>
  <c r="L303" i="5"/>
  <c r="L311" i="5"/>
  <c r="N311" i="5" s="1"/>
  <c r="L323" i="5"/>
  <c r="L9" i="5"/>
  <c r="N9" i="5" s="1"/>
  <c r="L315" i="5"/>
  <c r="N315" i="5" s="1"/>
  <c r="L52" i="5"/>
  <c r="N52" i="5" s="1"/>
  <c r="L65" i="5"/>
  <c r="L75" i="5"/>
  <c r="L84" i="5"/>
  <c r="N84" i="5" s="1"/>
  <c r="L95" i="5"/>
  <c r="L124" i="5"/>
  <c r="L132" i="5"/>
  <c r="L155" i="5"/>
  <c r="N155" i="5" s="1"/>
  <c r="L177" i="5"/>
  <c r="L188" i="5"/>
  <c r="L196" i="5"/>
  <c r="L204" i="5"/>
  <c r="N204" i="5" s="1"/>
  <c r="L224" i="5"/>
  <c r="L240" i="5"/>
  <c r="N240" i="5" s="1"/>
  <c r="L256" i="5"/>
  <c r="N256" i="5" s="1"/>
  <c r="L272" i="5"/>
  <c r="N272" i="5" s="1"/>
  <c r="L288" i="5"/>
  <c r="N288" i="5" s="1"/>
  <c r="L296" i="5"/>
  <c r="N296" i="5" s="1"/>
  <c r="L324" i="5"/>
  <c r="N324" i="5" s="1"/>
  <c r="L50" i="5"/>
  <c r="N50" i="5" s="1"/>
  <c r="L72" i="5"/>
  <c r="L133" i="5"/>
  <c r="N133" i="5" s="1"/>
  <c r="L140" i="5"/>
  <c r="N140" i="5" s="1"/>
  <c r="L144" i="5"/>
  <c r="N144" i="5" s="1"/>
  <c r="L171" i="5"/>
  <c r="N171" i="5" s="1"/>
  <c r="L114" i="5"/>
  <c r="L92" i="5"/>
  <c r="N92" i="5" s="1"/>
  <c r="L96" i="5"/>
  <c r="N96" i="5" s="1"/>
  <c r="L201" i="5"/>
  <c r="L209" i="5"/>
  <c r="L221" i="5"/>
  <c r="N221" i="5" s="1"/>
  <c r="L229" i="5"/>
  <c r="N229" i="5" s="1"/>
  <c r="L245" i="5"/>
  <c r="N245" i="5" s="1"/>
  <c r="L265" i="5"/>
  <c r="L277" i="5"/>
  <c r="L297" i="5"/>
  <c r="L313" i="5"/>
  <c r="N313" i="5" s="1"/>
  <c r="L317" i="5"/>
  <c r="L333" i="5"/>
  <c r="H265" i="3"/>
  <c r="H306" i="3"/>
  <c r="H239" i="3"/>
  <c r="H194" i="3"/>
  <c r="L61" i="5"/>
  <c r="N61" i="5" s="1"/>
  <c r="L153" i="5"/>
  <c r="N153" i="5" s="1"/>
  <c r="L244" i="5"/>
  <c r="N244" i="5" s="1"/>
  <c r="L276" i="5"/>
  <c r="N276" i="5" s="1"/>
  <c r="L320" i="5"/>
  <c r="L185" i="5"/>
  <c r="N185" i="5" s="1"/>
  <c r="L218" i="5"/>
  <c r="L316" i="5"/>
  <c r="L232" i="5"/>
  <c r="N232" i="5" s="1"/>
  <c r="H144" i="5"/>
  <c r="H128" i="5"/>
  <c r="H112" i="5"/>
  <c r="H96" i="5"/>
  <c r="H80" i="5"/>
  <c r="H64" i="5"/>
  <c r="H48" i="5"/>
  <c r="H32" i="5"/>
  <c r="H16" i="5"/>
  <c r="H335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N44" i="5" s="1"/>
  <c r="L57" i="5"/>
  <c r="N57" i="5" s="1"/>
  <c r="L73" i="5"/>
  <c r="N73" i="5" s="1"/>
  <c r="L83" i="5"/>
  <c r="N83" i="5" s="1"/>
  <c r="L93" i="5"/>
  <c r="L111" i="5"/>
  <c r="L134" i="5"/>
  <c r="N134" i="5" s="1"/>
  <c r="L145" i="5"/>
  <c r="L156" i="5"/>
  <c r="L179" i="5"/>
  <c r="N179" i="5" s="1"/>
  <c r="L187" i="5"/>
  <c r="N187" i="5" s="1"/>
  <c r="L198" i="5"/>
  <c r="N198" i="5" s="1"/>
  <c r="L238" i="5"/>
  <c r="N238" i="5" s="1"/>
  <c r="L246" i="5"/>
  <c r="N246" i="5" s="1"/>
  <c r="L266" i="5"/>
  <c r="L274" i="5"/>
  <c r="L282" i="5"/>
  <c r="N282" i="5" s="1"/>
  <c r="L302" i="5"/>
  <c r="N302" i="5" s="1"/>
  <c r="L334" i="5"/>
  <c r="L295" i="5"/>
  <c r="L39" i="5"/>
  <c r="N39" i="5" s="1"/>
  <c r="H77" i="5"/>
  <c r="L90" i="5"/>
  <c r="N90" i="5" s="1"/>
  <c r="L102" i="5"/>
  <c r="L120" i="5"/>
  <c r="L150" i="5"/>
  <c r="N150" i="5" s="1"/>
  <c r="L243" i="5"/>
  <c r="N243" i="5" s="1"/>
  <c r="L147" i="5"/>
  <c r="N147" i="5" s="1"/>
  <c r="L17" i="5"/>
  <c r="L59" i="5"/>
  <c r="N59" i="5" s="1"/>
  <c r="L103" i="5"/>
  <c r="L109" i="5"/>
  <c r="N109" i="5" s="1"/>
  <c r="L117" i="5"/>
  <c r="L143" i="5"/>
  <c r="N143" i="5" s="1"/>
  <c r="L162" i="5"/>
  <c r="L200" i="5"/>
  <c r="L220" i="5"/>
  <c r="N220" i="5" s="1"/>
  <c r="L264" i="5"/>
  <c r="L148" i="5"/>
  <c r="L174" i="5"/>
  <c r="L182" i="5"/>
  <c r="N182" i="5" s="1"/>
  <c r="L186" i="5"/>
  <c r="N186" i="5" s="1"/>
  <c r="L37" i="5"/>
  <c r="N37" i="5" s="1"/>
  <c r="L69" i="5"/>
  <c r="L163" i="5"/>
  <c r="L110" i="5"/>
  <c r="N110" i="5" s="1"/>
  <c r="L122" i="5"/>
  <c r="N122" i="5" s="1"/>
  <c r="L56" i="5"/>
  <c r="N56" i="5" s="1"/>
  <c r="L85" i="5"/>
  <c r="L107" i="5"/>
  <c r="N107" i="5" s="1"/>
  <c r="L193" i="5"/>
  <c r="N193" i="5" s="1"/>
  <c r="L205" i="5"/>
  <c r="N205" i="5" s="1"/>
  <c r="L225" i="5"/>
  <c r="L241" i="5"/>
  <c r="N241" i="5" s="1"/>
  <c r="L261" i="5"/>
  <c r="L293" i="5"/>
  <c r="L309" i="5"/>
  <c r="L329" i="5"/>
  <c r="N329" i="5" s="1"/>
  <c r="H149" i="3"/>
  <c r="H287" i="3"/>
  <c r="L94" i="5"/>
  <c r="N94" i="5" s="1"/>
  <c r="L195" i="5"/>
  <c r="N195" i="5" s="1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6" i="2"/>
  <c r="G336" i="2"/>
  <c r="K278" i="5"/>
  <c r="C336" i="2"/>
  <c r="H156" i="3"/>
  <c r="H268" i="3"/>
  <c r="D337" i="5"/>
  <c r="H332" i="3"/>
  <c r="H266" i="3"/>
  <c r="K38" i="5"/>
  <c r="K118" i="5"/>
  <c r="K63" i="5"/>
  <c r="K235" i="5"/>
  <c r="K259" i="5"/>
  <c r="H242" i="3"/>
  <c r="H199" i="3"/>
  <c r="K234" i="5"/>
  <c r="K334" i="5"/>
  <c r="E336" i="3"/>
  <c r="K158" i="5"/>
  <c r="E336" i="2"/>
  <c r="H321" i="3"/>
  <c r="H189" i="3"/>
  <c r="H263" i="3"/>
  <c r="H202" i="3"/>
  <c r="D336" i="3"/>
  <c r="D336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E336" i="1"/>
  <c r="C9" i="12" s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332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333" i="3"/>
  <c r="H107" i="5"/>
  <c r="H91" i="5"/>
  <c r="H75" i="5"/>
  <c r="H59" i="5"/>
  <c r="H43" i="5"/>
  <c r="H27" i="5"/>
  <c r="H11" i="5"/>
  <c r="G21" i="1"/>
  <c r="G23" i="1"/>
  <c r="G85" i="1"/>
  <c r="G133" i="1"/>
  <c r="G185" i="1"/>
  <c r="G222" i="1"/>
  <c r="G246" i="1"/>
  <c r="G278" i="1"/>
  <c r="G302" i="1"/>
  <c r="G319" i="1"/>
  <c r="G69" i="1"/>
  <c r="G151" i="1"/>
  <c r="G197" i="1"/>
  <c r="G243" i="1"/>
  <c r="G286" i="1"/>
  <c r="G311" i="1"/>
  <c r="G335" i="1"/>
  <c r="G87" i="1"/>
  <c r="G165" i="1"/>
  <c r="G212" i="1"/>
  <c r="G258" i="1"/>
  <c r="G287" i="1"/>
  <c r="G318" i="1"/>
  <c r="G39" i="1"/>
  <c r="G169" i="1"/>
  <c r="G266" i="1"/>
  <c r="G327" i="1"/>
  <c r="G45" i="1"/>
  <c r="G196" i="1"/>
  <c r="G267" i="1"/>
  <c r="G334" i="1"/>
  <c r="G109" i="1"/>
  <c r="G295" i="1"/>
  <c r="G125" i="1"/>
  <c r="G303" i="1"/>
  <c r="G226" i="1"/>
  <c r="G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G315" i="1"/>
  <c r="G283" i="1"/>
  <c r="G242" i="1"/>
  <c r="G191" i="1"/>
  <c r="G119" i="1"/>
  <c r="G37" i="1"/>
  <c r="G322" i="1"/>
  <c r="G290" i="1"/>
  <c r="G250" i="1"/>
  <c r="G201" i="1"/>
  <c r="G135" i="1"/>
  <c r="G53" i="1"/>
  <c r="G271" i="1"/>
  <c r="G239" i="1"/>
  <c r="G203" i="1"/>
  <c r="G159" i="1"/>
  <c r="G95" i="1"/>
  <c r="G31" i="1"/>
  <c r="G103" i="1"/>
  <c r="G234" i="1"/>
  <c r="G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330" i="3"/>
  <c r="H297" i="3"/>
  <c r="H271" i="3"/>
  <c r="H213" i="3"/>
  <c r="H113" i="3"/>
  <c r="H57" i="3"/>
  <c r="H309" i="3"/>
  <c r="H253" i="3"/>
  <c r="H226" i="3"/>
  <c r="H165" i="3"/>
  <c r="H125" i="3"/>
  <c r="H9" i="3"/>
  <c r="F336" i="1"/>
  <c r="C10" i="12" s="1"/>
  <c r="G307" i="1"/>
  <c r="G274" i="1"/>
  <c r="G230" i="1"/>
  <c r="G176" i="1"/>
  <c r="G101" i="1"/>
  <c r="G13" i="1"/>
  <c r="G314" i="1"/>
  <c r="G282" i="1"/>
  <c r="G238" i="1"/>
  <c r="G187" i="1"/>
  <c r="G117" i="1"/>
  <c r="G29" i="1"/>
  <c r="G263" i="1"/>
  <c r="G231" i="1"/>
  <c r="G192" i="1"/>
  <c r="G143" i="1"/>
  <c r="G79" i="1"/>
  <c r="G15" i="1"/>
  <c r="G149" i="1"/>
  <c r="G254" i="1"/>
  <c r="G326" i="1"/>
  <c r="H18" i="5"/>
  <c r="H82" i="5"/>
  <c r="H146" i="5"/>
  <c r="H210" i="5"/>
  <c r="H274" i="5"/>
  <c r="H69" i="5"/>
  <c r="H133" i="5"/>
  <c r="H197" i="5"/>
  <c r="H261" i="5"/>
  <c r="H325" i="5"/>
  <c r="H334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7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7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6" i="2"/>
  <c r="H289" i="3"/>
  <c r="I336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N8" i="5" s="1"/>
  <c r="E337" i="5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26" i="3"/>
  <c r="H42" i="3"/>
  <c r="H58" i="3"/>
  <c r="H74" i="3"/>
  <c r="H90" i="3"/>
  <c r="H106" i="3"/>
  <c r="H122" i="3"/>
  <c r="H138" i="3"/>
  <c r="F337" i="5"/>
  <c r="B19" i="10" s="1"/>
  <c r="H83" i="3"/>
  <c r="H131" i="3"/>
  <c r="H179" i="3"/>
  <c r="H227" i="3"/>
  <c r="H275" i="3"/>
  <c r="H323" i="3"/>
  <c r="I336" i="3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334" i="3"/>
  <c r="H18" i="3"/>
  <c r="H34" i="3"/>
  <c r="H50" i="3"/>
  <c r="H66" i="3"/>
  <c r="H82" i="3"/>
  <c r="H98" i="3"/>
  <c r="H114" i="3"/>
  <c r="H130" i="3"/>
  <c r="H146" i="3"/>
  <c r="K36" i="12" l="1"/>
  <c r="D36" i="12"/>
  <c r="K37" i="12"/>
  <c r="D38" i="12"/>
  <c r="J37" i="12"/>
  <c r="D37" i="12"/>
  <c r="J36" i="12"/>
  <c r="B18" i="10"/>
  <c r="D17" i="12"/>
  <c r="D42" i="12"/>
  <c r="J28" i="12"/>
  <c r="C11" i="12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333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6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P17" i="12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334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335" i="5"/>
  <c r="N152" i="5"/>
  <c r="N99" i="5"/>
  <c r="N36" i="5"/>
  <c r="N158" i="5"/>
  <c r="N309" i="5"/>
  <c r="N117" i="5"/>
  <c r="N75" i="5"/>
  <c r="N303" i="5"/>
  <c r="N81" i="5"/>
  <c r="N136" i="5"/>
  <c r="N112" i="5"/>
  <c r="N310" i="5"/>
  <c r="N41" i="5"/>
  <c r="N32" i="5"/>
  <c r="N213" i="5"/>
  <c r="N146" i="5"/>
  <c r="D26" i="12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G336" i="1"/>
  <c r="B16" i="10" s="1"/>
  <c r="B17" i="10"/>
  <c r="H337" i="5"/>
  <c r="B23" i="10"/>
  <c r="O17" i="12" l="1"/>
  <c r="J38" i="12"/>
  <c r="K38" i="12"/>
  <c r="O21" i="12"/>
  <c r="O22" i="12"/>
  <c r="O20" i="12"/>
  <c r="O19" i="12"/>
  <c r="O23" i="12"/>
  <c r="P26" i="12"/>
  <c r="O16" i="12"/>
  <c r="O18" i="12"/>
  <c r="O24" i="12"/>
  <c r="D11" i="12"/>
  <c r="D12" i="12" s="1"/>
  <c r="D27" i="12"/>
  <c r="B21" i="10"/>
  <c r="B15" i="10"/>
  <c r="B24" i="10"/>
  <c r="C336" i="3" l="1"/>
  <c r="J25" i="12" s="1"/>
  <c r="H336" i="3"/>
  <c r="O25" i="12" s="1"/>
  <c r="O26" i="12" s="1"/>
</calcChain>
</file>

<file path=xl/comments1.xml><?xml version="1.0" encoding="utf-8"?>
<comments xmlns="http://schemas.openxmlformats.org/spreadsheetml/2006/main">
  <authors>
    <author>Department of Management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<sst xmlns="http://schemas.openxmlformats.org/spreadsheetml/2006/main" count="3880" uniqueCount="1496">
  <si>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</si>
  <si>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</si>
  <si>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</si>
  <si>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</si>
  <si>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</si>
  <si>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</si>
  <si>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</si>
  <si>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</si>
  <si>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</si>
  <si>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</si>
  <si>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</si>
  <si>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</si>
  <si>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>E = A-B-C-D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</si>
  <si>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</si>
  <si>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</si>
  <si>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</si>
  <si>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</si>
  <si>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</si>
  <si>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</si>
  <si>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</si>
  <si>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</si>
  <si>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</si>
  <si>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</si>
  <si>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</si>
  <si>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</si>
  <si>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</si>
  <si>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</si>
  <si>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</si>
  <si>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</si>
  <si>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</si>
  <si>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</si>
  <si>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</si>
  <si>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</si>
  <si>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</si>
  <si>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</si>
  <si>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</si>
  <si>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</si>
  <si>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</si>
  <si>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</si>
  <si>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</si>
  <si>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</si>
  <si>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</si>
  <si>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</si>
  <si>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</si>
  <si>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</si>
  <si>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</si>
  <si>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</si>
  <si>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</si>
  <si>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</si>
  <si>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</si>
  <si>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</si>
  <si>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</si>
  <si>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</si>
  <si>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</si>
  <si>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</si>
  <si>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</si>
  <si>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</si>
  <si>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</si>
  <si>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</si>
  <si>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</si>
  <si>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</si>
  <si>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</si>
  <si>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</si>
  <si>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</si>
  <si>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</si>
  <si>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</si>
  <si>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</si>
  <si>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</si>
  <si>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</si>
  <si>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</si>
  <si>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</si>
  <si>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</si>
  <si>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</si>
  <si>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</si>
  <si>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</si>
  <si>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</si>
  <si>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</si>
  <si>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</si>
  <si>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</si>
  <si>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</si>
  <si>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</si>
  <si>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</si>
  <si>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</si>
  <si>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</si>
  <si>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</si>
  <si>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</si>
  <si>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</si>
  <si>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</si>
  <si>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</si>
  <si>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</si>
  <si>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</si>
  <si>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</si>
  <si>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</si>
  <si>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</si>
  <si>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</si>
  <si>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</si>
  <si>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</si>
  <si>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</si>
  <si>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</si>
  <si>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</si>
  <si>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</si>
  <si>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</si>
  <si>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</si>
  <si>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</si>
  <si>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</si>
  <si>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</si>
  <si>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</si>
  <si>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</si>
  <si>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</si>
  <si>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</si>
  <si>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</si>
  <si>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</si>
  <si>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</si>
  <si>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</si>
  <si>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</si>
  <si>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</si>
  <si>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</si>
  <si>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</si>
  <si>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</si>
  <si>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</si>
  <si>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</si>
  <si>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</si>
  <si>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</si>
  <si>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</si>
  <si>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</si>
  <si>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</si>
  <si>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</si>
  <si>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</si>
  <si>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</si>
  <si>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</si>
  <si>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</si>
  <si>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</si>
  <si>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</si>
  <si>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</si>
  <si>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</si>
  <si>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</si>
  <si>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</si>
  <si>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</si>
  <si>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</si>
  <si>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</si>
  <si>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</si>
  <si>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</si>
  <si>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</si>
  <si>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</si>
  <si>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</si>
  <si>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</si>
  <si>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</si>
  <si>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</si>
  <si>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</si>
  <si>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</si>
  <si>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</si>
  <si>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</si>
  <si>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</si>
  <si>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</si>
  <si>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</si>
  <si>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</si>
  <si>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</si>
  <si>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</si>
  <si>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</si>
  <si>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</si>
  <si>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</si>
  <si>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</si>
  <si>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</si>
  <si>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</si>
  <si>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</si>
  <si>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</si>
  <si>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</si>
  <si>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</si>
  <si>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</si>
  <si>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</si>
  <si>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</si>
  <si>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</si>
  <si>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</si>
  <si>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</si>
  <si>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</si>
  <si>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</si>
  <si>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</si>
  <si>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</si>
  <si>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</si>
  <si>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</si>
  <si>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</si>
  <si>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</si>
  <si>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</si>
  <si>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</si>
  <si>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</si>
  <si>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</si>
  <si>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</si>
  <si>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</si>
  <si>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</si>
  <si>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</si>
  <si>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</si>
  <si>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</si>
  <si>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</si>
  <si>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</si>
  <si>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</si>
  <si>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</si>
  <si>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</si>
  <si>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</si>
  <si>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</si>
  <si>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</si>
  <si>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</si>
  <si>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</si>
  <si>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</si>
  <si>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</si>
  <si>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</si>
  <si>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</si>
  <si>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</si>
  <si>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</si>
  <si>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</si>
  <si>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</si>
  <si>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</si>
  <si>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</si>
  <si>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</si>
  <si>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</si>
  <si>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</si>
  <si>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</si>
  <si>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</si>
  <si>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</si>
  <si>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</si>
  <si>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</si>
  <si>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</si>
  <si>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</si>
  <si>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</si>
  <si>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</si>
  <si>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</si>
  <si>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</si>
  <si>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</si>
  <si>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</si>
  <si>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</si>
  <si>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</si>
  <si>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</si>
  <si>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</si>
  <si>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</si>
  <si>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</si>
  <si>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</si>
  <si>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</si>
  <si>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</si>
  <si>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</si>
  <si>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</si>
  <si>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</si>
  <si>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</si>
  <si>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</si>
  <si>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</si>
  <si>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</si>
  <si>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</si>
  <si>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</si>
  <si>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</si>
  <si>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</si>
  <si>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</si>
  <si>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</si>
  <si>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</si>
  <si>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</si>
  <si>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</si>
  <si>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</si>
  <si>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</si>
  <si>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</si>
  <si>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</si>
  <si>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</si>
  <si>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</si>
  <si>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</si>
  <si>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</si>
  <si>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</si>
  <si>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</si>
  <si>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</si>
  <si>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</si>
  <si>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</si>
  <si>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</si>
  <si>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</si>
  <si>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</si>
  <si>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</si>
  <si>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</si>
  <si>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</si>
  <si>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</si>
  <si>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</si>
  <si>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</si>
  <si>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</si>
  <si>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</si>
  <si>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</si>
  <si>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</si>
  <si>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</si>
  <si>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</si>
  <si>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</si>
  <si>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</si>
  <si>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</si>
  <si>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</si>
  <si>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</si>
  <si>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</si>
  <si>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</si>
  <si>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</si>
  <si>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</si>
  <si>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</si>
  <si>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</si>
  <si>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</si>
  <si>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</si>
  <si>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</si>
  <si>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</si>
  <si>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</si>
  <si>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</si>
  <si>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</si>
  <si>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</si>
  <si>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</si>
  <si>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</si>
  <si>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</si>
  <si>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</si>
  <si>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</si>
  <si>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</si>
  <si>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</si>
  <si>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</si>
  <si>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</si>
  <si>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</si>
  <si>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</si>
  <si>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</si>
  <si>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</si>
  <si>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</si>
  <si>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</si>
  <si>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</si>
  <si>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</si>
  <si>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</si>
  <si>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</si>
  <si>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</si>
  <si>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</si>
  <si>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</si>
  <si>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</si>
  <si>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</si>
  <si>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</si>
  <si>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</si>
  <si>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</si>
  <si>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</si>
  <si>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</si>
  <si>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</si>
  <si>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</si>
  <si>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</si>
  <si>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</si>
  <si>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</si>
  <si>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</si>
  <si>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</si>
  <si>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</si>
  <si>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</si>
  <si>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</si>
  <si>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</si>
  <si>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</si>
  <si>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</si>
  <si>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</si>
  <si>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</si>
  <si>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</si>
  <si>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</si>
  <si>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</si>
  <si>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</si>
  <si>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</si>
  <si>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</si>
  <si>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</si>
  <si>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</si>
  <si>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</si>
  <si>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</si>
  <si>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</si>
  <si>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</si>
  <si>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</si>
  <si>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</si>
  <si>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</si>
  <si>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</si>
  <si>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</si>
  <si>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</si>
  <si>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</si>
  <si>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</si>
  <si>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</si>
  <si>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</si>
  <si>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</si>
  <si>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</si>
  <si>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</si>
  <si>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</si>
  <si>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</si>
  <si>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</si>
  <si>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</si>
  <si>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</si>
  <si>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</si>
  <si>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</si>
  <si>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</si>
  <si>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</si>
  <si>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</si>
  <si>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</si>
  <si>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</si>
  <si>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</si>
  <si>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</si>
  <si>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</si>
  <si>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</si>
  <si>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</si>
  <si>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</si>
  <si>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</si>
  <si>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</si>
  <si>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</si>
  <si>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</si>
  <si>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</si>
  <si>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</si>
  <si>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</si>
  <si>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</si>
  <si>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</si>
  <si>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</si>
  <si>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</si>
  <si>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</si>
  <si>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</si>
  <si>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</si>
  <si>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</si>
  <si>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</si>
  <si>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</si>
  <si>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</si>
  <si>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</si>
  <si>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</si>
  <si>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</si>
  <si>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</si>
  <si>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</si>
  <si>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</si>
  <si>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</si>
  <si>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</si>
  <si>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</si>
  <si>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</si>
  <si>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</si>
  <si>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</si>
  <si>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</si>
  <si>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</si>
  <si>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</si>
  <si>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</si>
  <si>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</si>
  <si>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</si>
  <si>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</si>
  <si>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</si>
  <si>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</si>
  <si>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</si>
  <si>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</si>
  <si>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</si>
  <si>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</si>
  <si>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</si>
  <si>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</si>
  <si>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</si>
  <si>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</si>
  <si>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</si>
  <si>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</si>
  <si>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</si>
  <si>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</si>
  <si>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</si>
  <si>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</si>
  <si>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</si>
  <si>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</si>
  <si>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</si>
  <si>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</si>
  <si>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</si>
  <si>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</si>
  <si>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</si>
  <si>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</si>
  <si>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</si>
  <si>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</si>
  <si>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</si>
  <si>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</si>
  <si>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</si>
  <si>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</si>
  <si>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</si>
  <si>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</si>
  <si>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</si>
  <si>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</si>
  <si>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</si>
  <si>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</si>
  <si>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</si>
  <si>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</si>
  <si>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</si>
  <si>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</si>
  <si>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</si>
  <si>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</si>
  <si>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</si>
  <si>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</si>
  <si>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</si>
  <si>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</si>
  <si>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</si>
  <si>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</si>
  <si>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</si>
  <si>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</si>
  <si>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</si>
  <si>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</si>
  <si>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</si>
  <si>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</si>
  <si>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</si>
  <si>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</si>
  <si>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</si>
  <si>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</si>
  <si>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</si>
  <si>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</si>
  <si>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</si>
  <si>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</si>
  <si>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</si>
  <si>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</si>
  <si>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</si>
  <si>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</si>
  <si>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</si>
  <si>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</si>
  <si>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</si>
  <si>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</si>
  <si>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</si>
  <si>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</si>
  <si>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</si>
  <si>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</si>
  <si>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</si>
  <si>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</si>
  <si>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</si>
  <si>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</si>
  <si>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</si>
  <si>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</si>
  <si>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</si>
  <si>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</si>
  <si>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</si>
  <si>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</si>
  <si>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</si>
  <si>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</si>
  <si>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</si>
  <si>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</si>
  <si>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</si>
  <si>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</si>
  <si>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</si>
  <si>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</si>
  <si>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</si>
  <si>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</si>
  <si>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</si>
  <si>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</si>
  <si>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</si>
  <si>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</si>
  <si>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</si>
  <si>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</si>
  <si>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</si>
  <si>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</si>
  <si>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</si>
  <si>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</si>
  <si>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</si>
  <si>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</si>
  <si>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</si>
  <si>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</si>
  <si>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</si>
  <si>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</si>
  <si>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</si>
  <si>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</si>
  <si>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</si>
  <si>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</si>
  <si>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</si>
  <si>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</si>
  <si>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</si>
  <si>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</si>
  <si>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</si>
  <si>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</si>
  <si>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</si>
  <si>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</si>
  <si>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</si>
  <si>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</si>
  <si>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</si>
  <si>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</si>
  <si>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</si>
  <si>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</si>
  <si>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</si>
  <si>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</si>
  <si>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</si>
  <si>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</si>
  <si>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</si>
  <si>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</si>
  <si>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</si>
  <si>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</si>
  <si>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</si>
  <si>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</si>
  <si>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</si>
  <si>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</si>
  <si>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</si>
  <si>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</si>
  <si>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</si>
  <si>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</si>
  <si>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</si>
  <si>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</si>
  <si>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</si>
  <si>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</si>
  <si>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</si>
  <si>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</si>
  <si>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</si>
  <si>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</si>
  <si>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</si>
  <si>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</si>
  <si>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</si>
  <si>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</si>
  <si>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</si>
  <si>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</si>
  <si>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</si>
  <si>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Northeast Hamilton</t>
  </si>
  <si>
    <t>North Mahaska</t>
  </si>
  <si>
    <t>North Linn</t>
  </si>
  <si>
    <t>North Kossuth</t>
  </si>
  <si>
    <t>North Polk</t>
  </si>
  <si>
    <t>North Scott</t>
  </si>
  <si>
    <t>North Tama</t>
  </si>
  <si>
    <t>North Winneshiek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</si>
  <si>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</si>
  <si>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</si>
  <si>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</si>
  <si>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</si>
  <si>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</si>
  <si>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</si>
  <si>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</si>
  <si>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</si>
  <si>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</si>
  <si>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</si>
  <si>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</si>
  <si>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</si>
  <si>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</si>
  <si>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</si>
  <si>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</si>
  <si>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</si>
  <si>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</si>
  <si>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</si>
  <si>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</si>
  <si>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</si>
  <si>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</si>
  <si>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</si>
  <si>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</si>
  <si>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</si>
  <si>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</si>
  <si>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</si>
  <si>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</si>
  <si>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</si>
  <si>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</si>
  <si>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</si>
  <si>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</si>
  <si>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</si>
  <si>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</si>
  <si>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</si>
  <si>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</si>
  <si>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</si>
  <si>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</si>
  <si>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</si>
  <si>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</si>
  <si>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</si>
  <si>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</si>
  <si>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</si>
  <si>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</si>
  <si>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</si>
  <si>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</si>
  <si>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</si>
  <si>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</si>
  <si>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</si>
  <si>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</si>
  <si>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</si>
  <si>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</si>
  <si>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</si>
  <si>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</si>
  <si>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</si>
  <si>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</si>
  <si>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</si>
  <si>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</si>
  <si>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</si>
  <si>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</si>
  <si>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</si>
  <si>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</si>
  <si>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</si>
  <si>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</si>
  <si>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</si>
  <si>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</si>
  <si>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</si>
  <si>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</si>
  <si>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</si>
  <si>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</si>
  <si>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</si>
  <si>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</si>
  <si>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</si>
  <si>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</si>
  <si>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Buren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</si>
  <si>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</si>
  <si>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</si>
  <si>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</si>
  <si>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</si>
  <si>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</si>
  <si>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</si>
  <si>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</si>
  <si>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</si>
  <si>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</si>
  <si>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</si>
  <si>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</si>
  <si>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</si>
  <si>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</si>
  <si>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</si>
  <si>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</si>
  <si>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</si>
  <si>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</si>
  <si>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</si>
  <si>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</si>
  <si>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</si>
  <si>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</si>
  <si>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</si>
  <si>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</si>
  <si>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</si>
  <si>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</si>
  <si>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</si>
  <si>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</si>
  <si>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</si>
  <si>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</si>
  <si>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</si>
  <si>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</si>
  <si>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</si>
  <si>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</si>
  <si>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</si>
  <si>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</si>
  <si>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</si>
  <si>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</si>
  <si>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</si>
  <si>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</si>
  <si>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</si>
  <si>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</si>
  <si>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</si>
  <si>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</si>
  <si>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</si>
  <si>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</si>
  <si>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</si>
  <si>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</si>
  <si>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</si>
  <si>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</si>
  <si>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</si>
  <si>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</si>
  <si>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</si>
  <si>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</si>
  <si>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</si>
  <si>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</si>
  <si>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</si>
  <si>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</si>
  <si>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</si>
  <si>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</si>
  <si>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</si>
  <si>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</si>
  <si>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</si>
  <si>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</si>
  <si>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</si>
  <si>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</si>
  <si>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</si>
  <si>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</si>
  <si>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</si>
  <si>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</si>
  <si>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</si>
  <si>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</si>
  <si>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</si>
  <si>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</si>
  <si>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</si>
  <si>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</si>
  <si>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</si>
  <si>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</si>
  <si>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</si>
  <si>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</si>
  <si>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</si>
  <si>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</si>
  <si>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</si>
  <si>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</si>
  <si>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</si>
  <si>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</si>
  <si>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</si>
  <si>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</si>
  <si>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</si>
  <si>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</si>
  <si>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</si>
  <si>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</si>
  <si>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</si>
  <si>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</si>
  <si>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DE File Mainframe</t>
  </si>
  <si>
    <t>Paste Txt Here and transform data to columns</t>
  </si>
  <si>
    <t>SAS vs. Mainframe Payment File</t>
  </si>
  <si>
    <t>Paste in new data everytime a payment changes to  get juvenile home and special ed added in.</t>
  </si>
  <si>
    <t>E
Regular 
State Payment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</si>
  <si>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</si>
  <si>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</si>
  <si>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</si>
  <si>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</si>
  <si>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</si>
  <si>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</si>
  <si>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</si>
  <si>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</si>
  <si>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</si>
  <si>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</si>
  <si>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</si>
  <si>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</si>
  <si>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</si>
  <si>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</si>
  <si>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</si>
  <si>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</si>
  <si>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</si>
  <si>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Have to change the Payment Total reference from Column C to Column D when you get to Pay 2, and from Column D to Column E when get to pay 3 and from Column E to Column F when get to pay 5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</si>
  <si>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</si>
  <si>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</si>
  <si>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</si>
  <si>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</si>
  <si>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</si>
  <si>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</si>
  <si>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</si>
  <si>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</si>
  <si>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</si>
  <si>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</si>
  <si>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</si>
  <si>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</si>
  <si>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</si>
  <si>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</si>
  <si>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</si>
  <si>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</si>
  <si>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</si>
  <si>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</si>
  <si>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MFL MAR MAC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</si>
  <si>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</si>
  <si>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</si>
  <si>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</si>
  <si>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</si>
  <si>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</si>
  <si>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</si>
  <si>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</si>
  <si>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</si>
  <si>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</si>
  <si>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</si>
  <si>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</si>
  <si>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</si>
  <si>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>00180000</t>
  </si>
  <si>
    <t>00270000</t>
  </si>
  <si>
    <t>00090000</t>
  </si>
  <si>
    <t>04410000</t>
  </si>
  <si>
    <t>00630000</t>
  </si>
  <si>
    <t>00720000</t>
  </si>
  <si>
    <t>00810000</t>
  </si>
  <si>
    <t>00990000</t>
  </si>
  <si>
    <t>01080000</t>
  </si>
  <si>
    <t>01260000</t>
  </si>
  <si>
    <t>01350000</t>
  </si>
  <si>
    <t>01710000</t>
  </si>
  <si>
    <t>02250000</t>
  </si>
  <si>
    <t>02340000</t>
  </si>
  <si>
    <t>02430000</t>
  </si>
  <si>
    <t>02610000</t>
  </si>
  <si>
    <t>02790000</t>
  </si>
  <si>
    <t>03550000</t>
  </si>
  <si>
    <t>03870000</t>
  </si>
  <si>
    <t>04140000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</si>
  <si>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</si>
  <si>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</si>
  <si>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</si>
  <si>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</si>
  <si>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</si>
  <si>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</si>
  <si>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</si>
  <si>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</si>
  <si>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</si>
  <si>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</si>
  <si>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07200000</t>
  </si>
  <si>
    <t>07290000</t>
  </si>
  <si>
    <t>07470000</t>
  </si>
  <si>
    <t>19170000</t>
  </si>
  <si>
    <t>08460000</t>
  </si>
  <si>
    <t>08820000</t>
  </si>
  <si>
    <t>09160000</t>
  </si>
  <si>
    <t>09180000</t>
  </si>
  <si>
    <t>09140000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</si>
  <si>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</si>
  <si>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</si>
  <si>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</si>
  <si>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</si>
  <si>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</si>
  <si>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</si>
  <si>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</si>
  <si>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</si>
  <si>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10890000</t>
  </si>
  <si>
    <t>10800000</t>
  </si>
  <si>
    <t>10820000</t>
  </si>
  <si>
    <t>10930000</t>
  </si>
  <si>
    <t>10790000</t>
  </si>
  <si>
    <t>10950000</t>
  </si>
  <si>
    <t>47720000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</si>
  <si>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</si>
  <si>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</si>
  <si>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</si>
  <si>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</si>
  <si>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</si>
  <si>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</si>
  <si>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</si>
  <si>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</si>
  <si>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</si>
  <si>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27630000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</si>
  <si>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</si>
  <si>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</si>
  <si>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</si>
  <si>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</si>
  <si>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</si>
  <si>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</si>
  <si>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</si>
  <si>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</si>
  <si>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</si>
  <si>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</si>
  <si>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</si>
  <si>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</si>
  <si>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</si>
  <si>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</si>
  <si>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</si>
  <si>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</si>
  <si>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</si>
  <si>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</si>
  <si>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</si>
  <si>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</si>
  <si>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</si>
  <si>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</si>
  <si>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</si>
  <si>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</si>
  <si>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</si>
  <si>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19260000</t>
  </si>
  <si>
    <t>19440000</t>
  </si>
  <si>
    <t>19530000</t>
  </si>
  <si>
    <t>19630000</t>
  </si>
  <si>
    <t>19680000</t>
  </si>
  <si>
    <t>39780000</t>
  </si>
  <si>
    <t>67410000</t>
  </si>
  <si>
    <t>19700000</t>
  </si>
  <si>
    <t>19720000</t>
  </si>
  <si>
    <t>19650000</t>
  </si>
  <si>
    <t>06570000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</si>
  <si>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</si>
  <si>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</si>
  <si>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</si>
  <si>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</si>
  <si>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</si>
  <si>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</si>
  <si>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</si>
  <si>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</si>
  <si>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</si>
  <si>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</si>
  <si>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</si>
  <si>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</si>
  <si>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</si>
  <si>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</si>
  <si>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</si>
  <si>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</si>
  <si>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</si>
  <si>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</si>
  <si>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</si>
  <si>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</si>
  <si>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26820000</t>
  </si>
  <si>
    <t>25560000</t>
  </si>
  <si>
    <t>31950000</t>
  </si>
  <si>
    <t>27090000</t>
  </si>
  <si>
    <t>27180000</t>
  </si>
  <si>
    <t>27270000</t>
  </si>
  <si>
    <t>27540000</t>
  </si>
  <si>
    <t>27720000</t>
  </si>
  <si>
    <t>27810000</t>
  </si>
  <si>
    <t>28260000</t>
  </si>
  <si>
    <t>28340000</t>
  </si>
  <si>
    <t>28460000</t>
  </si>
  <si>
    <t>28620000</t>
  </si>
  <si>
    <t>29770000</t>
  </si>
  <si>
    <t>29880000</t>
  </si>
  <si>
    <t>27660000</t>
  </si>
  <si>
    <t>30290000</t>
  </si>
  <si>
    <t>30330000</t>
  </si>
  <si>
    <t>30420000</t>
  </si>
  <si>
    <t>30600000</t>
  </si>
  <si>
    <t>31680000</t>
  </si>
  <si>
    <t>31050000</t>
  </si>
  <si>
    <t>31140000</t>
  </si>
  <si>
    <t>31190000</t>
  </si>
  <si>
    <t>31410000</t>
  </si>
  <si>
    <t>31500000</t>
  </si>
  <si>
    <t>31540000</t>
  </si>
  <si>
    <t>31860000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</si>
  <si>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</si>
  <si>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</si>
  <si>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</si>
  <si>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</si>
  <si>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</si>
  <si>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</si>
  <si>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</si>
  <si>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</si>
  <si>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</si>
  <si>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</si>
  <si>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36000000</t>
  </si>
  <si>
    <t>36090000</t>
  </si>
  <si>
    <t>36450000</t>
  </si>
  <si>
    <t>37150000</t>
  </si>
  <si>
    <t>37440000</t>
  </si>
  <si>
    <t>37980000</t>
  </si>
  <si>
    <t>38160000</t>
  </si>
  <si>
    <t>38410000</t>
  </si>
  <si>
    <t>38970000</t>
  </si>
  <si>
    <t>39060000</t>
  </si>
  <si>
    <t>39420000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</si>
  <si>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</si>
  <si>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</si>
  <si>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</si>
  <si>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</si>
  <si>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</si>
  <si>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</si>
  <si>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</si>
  <si>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</si>
  <si>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</si>
  <si>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42030000</t>
  </si>
  <si>
    <t>42120000</t>
  </si>
  <si>
    <t>44190000</t>
  </si>
  <si>
    <t>42710000</t>
  </si>
  <si>
    <t>42690000</t>
  </si>
  <si>
    <t>43560000</t>
  </si>
  <si>
    <t>41490000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</si>
  <si>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</si>
  <si>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</si>
  <si>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</si>
  <si>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</si>
  <si>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</si>
  <si>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</si>
  <si>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</si>
  <si>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</si>
  <si>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</si>
  <si>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</si>
  <si>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</si>
  <si>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</si>
  <si>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</si>
  <si>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46620000</t>
  </si>
  <si>
    <t>46890000</t>
  </si>
  <si>
    <t>46440000</t>
  </si>
  <si>
    <t>47250000</t>
  </si>
  <si>
    <t>26730000</t>
  </si>
  <si>
    <t>01530000</t>
  </si>
  <si>
    <t>36910000</t>
  </si>
  <si>
    <t>47740000</t>
  </si>
  <si>
    <t>08730000</t>
  </si>
  <si>
    <t>47780000</t>
  </si>
  <si>
    <t>47770000</t>
  </si>
  <si>
    <t>47760000</t>
  </si>
  <si>
    <t>47790000</t>
  </si>
  <si>
    <t>47840000</t>
  </si>
  <si>
    <t>47850000</t>
  </si>
  <si>
    <t>03330000</t>
  </si>
  <si>
    <t>47870000</t>
  </si>
  <si>
    <t>47730000</t>
  </si>
  <si>
    <t>47750000</t>
  </si>
  <si>
    <t>47880000</t>
  </si>
  <si>
    <t>47970000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</si>
  <si>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</si>
  <si>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</si>
  <si>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</si>
  <si>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</si>
  <si>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</si>
  <si>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</si>
  <si>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</si>
  <si>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</si>
  <si>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</si>
  <si>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</si>
  <si>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</si>
  <si>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51600000</t>
  </si>
  <si>
    <t>51630000</t>
  </si>
  <si>
    <t>51660000</t>
  </si>
  <si>
    <t>51840000</t>
  </si>
  <si>
    <t>52500000</t>
  </si>
  <si>
    <t>52560000</t>
  </si>
  <si>
    <t>52830000</t>
  </si>
  <si>
    <t>53100000</t>
  </si>
  <si>
    <t>53250000</t>
  </si>
  <si>
    <t>54630000</t>
  </si>
  <si>
    <t>54860000</t>
  </si>
  <si>
    <t>55080000</t>
  </si>
  <si>
    <t>19750000</t>
  </si>
  <si>
    <t>55100000</t>
  </si>
  <si>
    <t>56070000</t>
  </si>
  <si>
    <t>56430000</t>
  </si>
  <si>
    <t>56970000</t>
  </si>
  <si>
    <t>57240000</t>
  </si>
  <si>
    <t>58050000</t>
  </si>
  <si>
    <t>58230000</t>
  </si>
  <si>
    <t>58320000</t>
  </si>
  <si>
    <t>58770000</t>
  </si>
  <si>
    <t>58950000</t>
  </si>
  <si>
    <t>59490000</t>
  </si>
  <si>
    <t>59760000</t>
  </si>
  <si>
    <t>59940000</t>
  </si>
  <si>
    <t>60030000</t>
  </si>
  <si>
    <t>60120000</t>
  </si>
  <si>
    <t>60300000</t>
  </si>
  <si>
    <t>60350000</t>
  </si>
  <si>
    <t>60390000</t>
  </si>
  <si>
    <t>60930000</t>
  </si>
  <si>
    <t>60910000</t>
  </si>
  <si>
    <t>60950000</t>
  </si>
  <si>
    <t>60990000</t>
  </si>
  <si>
    <t>60970000</t>
  </si>
  <si>
    <t>60980000</t>
  </si>
  <si>
    <t>61000000</t>
  </si>
  <si>
    <t>61010000</t>
  </si>
  <si>
    <t>60940000</t>
  </si>
  <si>
    <t>60960000</t>
  </si>
  <si>
    <t>61020000</t>
  </si>
  <si>
    <t>61200000</t>
  </si>
  <si>
    <t>61380000</t>
  </si>
  <si>
    <t>57510000</t>
  </si>
  <si>
    <t>61650000</t>
  </si>
  <si>
    <t>61750000</t>
  </si>
  <si>
    <t>62190000</t>
  </si>
  <si>
    <t>62460000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</si>
  <si>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</si>
  <si>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</si>
  <si>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</si>
  <si>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</si>
  <si>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</si>
  <si>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</si>
  <si>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</si>
  <si>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</si>
  <si>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</si>
  <si>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</si>
  <si>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65360000</t>
  </si>
  <si>
    <t>65610000</t>
  </si>
  <si>
    <t>65790000</t>
  </si>
  <si>
    <t>65920000</t>
  </si>
  <si>
    <t>66150000</t>
  </si>
  <si>
    <t>66510000</t>
  </si>
  <si>
    <t>66600000</t>
  </si>
  <si>
    <t>67000000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</si>
  <si>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</si>
  <si>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</si>
  <si>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</si>
  <si>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</si>
  <si>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</si>
  <si>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</si>
  <si>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</si>
  <si>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</si>
  <si>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</si>
  <si>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</si>
  <si>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</si>
  <si>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</si>
  <si>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62640000</t>
  </si>
  <si>
    <t>69500000</t>
  </si>
  <si>
    <t>69570000</t>
  </si>
  <si>
    <t>59220000</t>
  </si>
  <si>
    <t>08190000</t>
  </si>
  <si>
    <t>69690000</t>
  </si>
  <si>
    <t>69750000</t>
  </si>
  <si>
    <t>69830000</t>
  </si>
  <si>
    <t>69850000</t>
  </si>
  <si>
    <t>69870000</t>
  </si>
  <si>
    <t>69900000</t>
  </si>
  <si>
    <t>69610000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</si>
  <si>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</si>
  <si>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</si>
  <si>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</si>
  <si>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</si>
  <si>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</si>
  <si>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</si>
  <si>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</si>
  <si>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</si>
  <si>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</si>
  <si>
    <t xml:space="preserve">Must change the reference in Column K once payment changes - Pay 1 to Pay 2 (Column 3 to Column 4) and Pay 2 to Pay 3 (Column 4 to Column 5) and Pay 3 to Pay 4 (Column 5 to Column 6) </t>
  </si>
  <si>
    <t xml:space="preserve">Must change the reference in Column Y and Column S once payment changes - Pay 1 to Pay 2 (Column 3 to Column 4) and Pay 2 to Pay 3 (Column 4 to Column 5) and Pay 3 to Pay 4 (Column 5 to Column 6) </t>
  </si>
  <si>
    <t>NAME</t>
  </si>
  <si>
    <t>Special Education Deficit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</si>
  <si>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</si>
  <si>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</si>
  <si>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</si>
  <si>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</si>
  <si>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</si>
  <si>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</si>
  <si>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</si>
  <si>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</si>
  <si>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</si>
  <si>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ALTA-AURELIA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</si>
  <si>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</si>
  <si>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</si>
  <si>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</si>
  <si>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</si>
  <si>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</si>
  <si>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</si>
  <si>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</si>
  <si>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</si>
  <si>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</si>
  <si>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</si>
  <si>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</si>
  <si>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</si>
  <si>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</si>
  <si>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</si>
  <si>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</si>
  <si>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</si>
  <si>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</si>
  <si>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</si>
  <si>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</si>
  <si>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</si>
  <si>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</si>
  <si>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</si>
  <si>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</si>
  <si>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</si>
  <si>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</si>
  <si>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</si>
  <si>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</si>
  <si>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</si>
  <si>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</si>
  <si>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</si>
  <si>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</si>
  <si>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</si>
  <si>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</si>
  <si>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CLAYTON</t>
  </si>
  <si>
    <t>CENTRAL DE WITT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</si>
  <si>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</si>
  <si>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</si>
  <si>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</si>
  <si>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</si>
  <si>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</si>
  <si>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</si>
  <si>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</si>
  <si>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</si>
  <si>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</si>
  <si>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</si>
  <si>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</si>
  <si>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</si>
  <si>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</si>
  <si>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</si>
  <si>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</si>
  <si>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</si>
  <si>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</si>
  <si>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</si>
  <si>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</si>
  <si>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</si>
  <si>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</si>
  <si>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</si>
  <si>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</si>
  <si>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</si>
  <si>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</si>
  <si>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</si>
  <si>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</si>
  <si>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</si>
  <si>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</si>
  <si>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</si>
  <si>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</si>
  <si>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</si>
  <si>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</si>
  <si>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</si>
  <si>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</si>
  <si>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</si>
  <si>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</si>
  <si>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</si>
  <si>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</si>
  <si>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</si>
  <si>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</si>
  <si>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</si>
  <si>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</si>
  <si>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</si>
  <si>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</si>
  <si>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</si>
  <si>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</si>
  <si>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</si>
  <si>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</si>
  <si>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</si>
  <si>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</si>
  <si>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</si>
  <si>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</si>
  <si>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</si>
  <si>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</si>
  <si>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</si>
  <si>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</si>
  <si>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</si>
  <si>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</si>
  <si>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</si>
  <si>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</si>
  <si>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</si>
  <si>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</si>
  <si>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</si>
  <si>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</si>
  <si>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</si>
  <si>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</si>
  <si>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</si>
  <si>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</si>
  <si>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</si>
  <si>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</si>
  <si>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GREENE COUNTY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</si>
  <si>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</si>
  <si>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</si>
  <si>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</si>
  <si>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</si>
  <si>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</si>
  <si>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</si>
  <si>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</si>
  <si>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</si>
  <si>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</si>
  <si>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</si>
  <si>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</si>
  <si>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</si>
  <si>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</si>
  <si>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</si>
  <si>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</si>
  <si>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</si>
  <si>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</si>
  <si>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</si>
  <si>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</si>
  <si>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</si>
  <si>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</si>
  <si>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</si>
  <si>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</si>
  <si>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</si>
  <si>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</si>
  <si>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</si>
  <si>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</si>
  <si>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</si>
  <si>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</si>
  <si>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</si>
  <si>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</si>
  <si>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</si>
  <si>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</si>
  <si>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</si>
  <si>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</si>
  <si>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</si>
  <si>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</si>
  <si>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</si>
  <si>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</si>
  <si>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</si>
  <si>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</si>
  <si>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</si>
  <si>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</si>
  <si>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</si>
  <si>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</si>
  <si>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</si>
  <si>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</si>
  <si>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</si>
  <si>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</si>
  <si>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</si>
  <si>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</si>
  <si>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</si>
  <si>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</si>
  <si>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</si>
  <si>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MEDIAPOLIS</t>
  </si>
  <si>
    <t>MELCHER-DALLAS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</si>
  <si>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</si>
  <si>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</si>
  <si>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</si>
  <si>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</si>
  <si>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</si>
  <si>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</si>
  <si>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</si>
  <si>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</si>
  <si>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</si>
  <si>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</si>
  <si>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</si>
  <si>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</si>
  <si>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</si>
  <si>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</si>
  <si>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</si>
  <si>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</si>
  <si>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</si>
  <si>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</si>
  <si>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</si>
  <si>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</si>
  <si>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</si>
  <si>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</si>
  <si>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</si>
  <si>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</si>
  <si>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 VALLEY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</si>
  <si>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</si>
  <si>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</si>
  <si>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</si>
  <si>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</si>
  <si>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</si>
  <si>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</si>
  <si>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</si>
  <si>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>NORTH UNION</t>
  </si>
  <si>
    <t>NORTH WINNESHIEK</t>
  </si>
  <si>
    <t>NORTHEAST</t>
  </si>
  <si>
    <t>NORTHEAST HAMILTON</t>
  </si>
  <si>
    <t>NORTHWOOD-KENSETT</t>
  </si>
  <si>
    <t>NORWALK</t>
  </si>
  <si>
    <t>ODEBOLT ARTHER BATTLE CREEK IDA GROVE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</si>
  <si>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</si>
  <si>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</si>
  <si>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</si>
  <si>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</si>
  <si>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</si>
  <si>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</si>
  <si>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</si>
  <si>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</si>
  <si>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</si>
  <si>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</si>
  <si>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</si>
  <si>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</si>
  <si>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</si>
  <si>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</si>
  <si>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</si>
  <si>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</si>
  <si>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</si>
  <si>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</si>
  <si>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</si>
  <si>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</si>
  <si>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</si>
  <si>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</si>
  <si>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</si>
  <si>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</si>
  <si>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</si>
  <si>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</si>
  <si>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</si>
  <si>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</si>
  <si>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</si>
  <si>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</si>
  <si>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</si>
  <si>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</si>
  <si>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</si>
  <si>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</si>
  <si>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</si>
  <si>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</si>
  <si>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</si>
  <si>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</si>
  <si>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</si>
  <si>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</si>
  <si>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</si>
  <si>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</si>
  <si>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</si>
  <si>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</si>
  <si>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</si>
  <si>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</si>
  <si>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</si>
  <si>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</si>
  <si>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</si>
  <si>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SOUTHEAST WEBSTER-GRAND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</si>
  <si>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</si>
  <si>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</si>
  <si>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</si>
  <si>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</si>
  <si>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</si>
  <si>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</si>
  <si>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</si>
  <si>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</si>
  <si>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</si>
  <si>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</si>
  <si>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</si>
  <si>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</si>
  <si>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</si>
  <si>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</si>
  <si>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</si>
  <si>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</si>
  <si>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</si>
  <si>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</si>
  <si>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</si>
  <si>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</si>
  <si>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</si>
  <si>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BUREN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</si>
  <si>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</si>
  <si>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</si>
  <si>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</si>
  <si>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</si>
  <si>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</si>
  <si>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</si>
  <si>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</si>
  <si>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</si>
  <si>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</si>
  <si>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</si>
  <si>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</si>
  <si>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</si>
  <si>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</si>
  <si>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</si>
  <si>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</si>
  <si>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</si>
  <si>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</si>
  <si>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 CO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</si>
  <si>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</si>
  <si>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</si>
  <si>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</si>
  <si>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</si>
  <si>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</si>
  <si>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</si>
  <si>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</si>
  <si>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</si>
  <si>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</si>
  <si>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 CO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</si>
  <si>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</si>
  <si>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</si>
  <si>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</si>
  <si>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</si>
  <si>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</si>
  <si>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</si>
  <si>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</si>
  <si>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</si>
  <si>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</si>
  <si>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AEA</t>
  </si>
  <si>
    <t>DistSub1</t>
  </si>
  <si>
    <t>DistSub2</t>
  </si>
  <si>
    <t>11</t>
  </si>
  <si>
    <t>07</t>
  </si>
  <si>
    <t>13</t>
  </si>
  <si>
    <t>6750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</si>
  <si>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</si>
  <si>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</si>
  <si>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</si>
  <si>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</si>
  <si>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</si>
  <si>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</si>
  <si>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</si>
  <si>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</si>
  <si>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</si>
  <si>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</si>
  <si>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</si>
  <si>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7083</t>
  </si>
  <si>
    <t>7934</t>
  </si>
  <si>
    <t>7935</t>
  </si>
  <si>
    <t>0270</t>
  </si>
  <si>
    <t>2664</t>
  </si>
  <si>
    <t>7936</t>
  </si>
  <si>
    <t>7937</t>
  </si>
  <si>
    <t>School District Income Surtax Payment - FY 2019</t>
  </si>
  <si>
    <t>Based upon income surtax rates in FY 2018 budgets</t>
  </si>
  <si>
    <t>First Payment - 12/01/2018</t>
  </si>
  <si>
    <t>Second Payment - 02/01/2019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</si>
</sst>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0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0" applyNumberFormat="0" applyAlignment="0" applyProtection="0"/>
    <xf numFmtId="0" fontId="7" fillId="28" borderId="11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0" applyNumberFormat="0" applyAlignment="0" applyProtection="0"/>
    <xf numFmtId="0" fontId="14" fillId="0" borderId="15" applyNumberFormat="0" applyFill="0" applyAlignment="0" applyProtection="0"/>
    <xf numFmtId="0" fontId="15" fillId="31" borderId="0" applyNumberFormat="0" applyBorder="0" applyAlignment="0" applyProtection="0"/>
    <xf numFmtId="0" fontId="3" fillId="32" borderId="16" applyNumberFormat="0" applyFont="0" applyAlignment="0" applyProtection="0"/>
    <xf numFmtId="0" fontId="16" fillId="27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8" fillId="0" borderId="0"/>
    <xf numFmtId="0" fontId="2" fillId="0" borderId="0"/>
    <xf numFmtId="0" fontId="1" fillId="0" borderId="0"/>
  </cellStyleXfs>
  <cellXfs count="235">
    <xf numFmtId="0" fontId="0" fillId="0" borderId="0" xfId="0"/>
    <xf numFmtId="0" fontId="21" fillId="0" borderId="0" xfId="0" applyFont="1"/>
    <xf numFmtId="49" fontId="21" fillId="0" borderId="0" xfId="0" applyNumberFormat="1" applyFont="1"/>
    <xf numFmtId="3" fontId="21" fillId="0" borderId="0" xfId="0" applyNumberFormat="1" applyFont="1"/>
    <xf numFmtId="3" fontId="27" fillId="0" borderId="0" xfId="0" applyNumberFormat="1" applyFont="1"/>
    <xf numFmtId="0" fontId="27" fillId="0" borderId="0" xfId="0" applyFont="1"/>
    <xf numFmtId="0" fontId="25" fillId="0" borderId="0" xfId="0" applyFont="1" applyFill="1" applyBorder="1"/>
    <xf numFmtId="49" fontId="25" fillId="0" borderId="0" xfId="0" applyNumberFormat="1" applyFont="1" applyFill="1" applyBorder="1"/>
    <xf numFmtId="0" fontId="21" fillId="33" borderId="0" xfId="0" applyFont="1" applyFill="1"/>
    <xf numFmtId="0" fontId="21" fillId="0" borderId="0" xfId="0" applyFont="1" applyAlignment="1">
      <alignment horizontal="center"/>
    </xf>
    <xf numFmtId="164" fontId="22" fillId="0" borderId="0" xfId="0" applyNumberFormat="1" applyFont="1" applyBorder="1" applyAlignment="1" applyProtection="1">
      <protection hidden="1"/>
    </xf>
    <xf numFmtId="0" fontId="23" fillId="0" borderId="0" xfId="0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164" fontId="25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3" fontId="25" fillId="0" borderId="3" xfId="0" applyNumberFormat="1" applyFont="1" applyBorder="1" applyAlignment="1" applyProtection="1">
      <alignment horizontal="center"/>
      <protection hidden="1"/>
    </xf>
    <xf numFmtId="3" fontId="25" fillId="0" borderId="3" xfId="0" applyNumberFormat="1" applyFont="1" applyFill="1" applyBorder="1" applyAlignment="1" applyProtection="1">
      <alignment horizontal="center"/>
      <protection hidden="1"/>
    </xf>
    <xf numFmtId="164" fontId="25" fillId="34" borderId="0" xfId="0" applyNumberFormat="1" applyFont="1" applyFill="1" applyProtection="1">
      <protection hidden="1"/>
    </xf>
    <xf numFmtId="3" fontId="25" fillId="34" borderId="4" xfId="0" applyNumberFormat="1" applyFont="1" applyFill="1" applyBorder="1" applyAlignment="1" applyProtection="1">
      <alignment horizontal="center" wrapText="1"/>
      <protection hidden="1"/>
    </xf>
    <xf numFmtId="0" fontId="25" fillId="0" borderId="6" xfId="0" applyFont="1" applyBorder="1" applyProtection="1">
      <protection hidden="1"/>
    </xf>
    <xf numFmtId="4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3" fontId="21" fillId="0" borderId="0" xfId="0" applyNumberFormat="1" applyFont="1" applyProtection="1">
      <protection hidden="1"/>
    </xf>
    <xf numFmtId="164" fontId="21" fillId="0" borderId="0" xfId="0" applyNumberFormat="1" applyFont="1" applyProtection="1">
      <protection hidden="1"/>
    </xf>
    <xf numFmtId="3" fontId="21" fillId="0" borderId="1" xfId="0" applyNumberFormat="1" applyFont="1" applyBorder="1" applyProtection="1">
      <protection hidden="1"/>
    </xf>
    <xf numFmtId="164" fontId="20" fillId="0" borderId="0" xfId="0" applyNumberFormat="1" applyFont="1" applyProtection="1">
      <protection hidden="1"/>
    </xf>
    <xf numFmtId="0" fontId="20" fillId="0" borderId="0" xfId="0" applyFont="1" applyProtection="1">
      <protection hidden="1"/>
    </xf>
    <xf numFmtId="3" fontId="20" fillId="0" borderId="0" xfId="0" applyNumberFormat="1" applyFont="1" applyProtection="1">
      <protection hidden="1"/>
    </xf>
    <xf numFmtId="164" fontId="24" fillId="0" borderId="0" xfId="0" applyNumberFormat="1" applyFont="1" applyBorder="1" applyAlignment="1" applyProtection="1">
      <protection hidden="1"/>
    </xf>
    <xf numFmtId="3" fontId="24" fillId="0" borderId="2" xfId="0" applyNumberFormat="1" applyFont="1" applyFill="1" applyBorder="1" applyAlignment="1" applyProtection="1">
      <alignment horizontal="center" vertical="center"/>
      <protection hidden="1"/>
    </xf>
    <xf numFmtId="3" fontId="24" fillId="0" borderId="3" xfId="0" applyNumberFormat="1" applyFont="1" applyFill="1" applyBorder="1" applyAlignment="1" applyProtection="1">
      <alignment horizontal="center" vertical="center"/>
      <protection hidden="1"/>
    </xf>
    <xf numFmtId="3" fontId="24" fillId="0" borderId="4" xfId="0" applyNumberFormat="1" applyFont="1" applyBorder="1" applyAlignment="1" applyProtection="1">
      <alignment horizontal="center"/>
      <protection hidden="1"/>
    </xf>
    <xf numFmtId="3" fontId="24" fillId="0" borderId="4" xfId="0" applyNumberFormat="1" applyFont="1" applyFill="1" applyBorder="1" applyAlignment="1" applyProtection="1">
      <alignment horizontal="center"/>
      <protection hidden="1"/>
    </xf>
    <xf numFmtId="3" fontId="24" fillId="0" borderId="4" xfId="0" applyNumberFormat="1" applyFont="1" applyBorder="1" applyAlignment="1" applyProtection="1">
      <alignment horizontal="center" wrapText="1"/>
      <protection hidden="1"/>
    </xf>
    <xf numFmtId="3" fontId="24" fillId="0" borderId="4" xfId="0" applyNumberFormat="1" applyFont="1" applyFill="1" applyBorder="1" applyAlignment="1" applyProtection="1">
      <alignment horizontal="center" wrapText="1"/>
      <protection hidden="1"/>
    </xf>
    <xf numFmtId="164" fontId="22" fillId="34" borderId="0" xfId="0" applyNumberFormat="1" applyFont="1" applyFill="1" applyBorder="1" applyAlignment="1" applyProtection="1">
      <protection hidden="1"/>
    </xf>
    <xf numFmtId="0" fontId="23" fillId="34" borderId="0" xfId="0" applyFont="1" applyFill="1" applyProtection="1"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0" fontId="24" fillId="0" borderId="3" xfId="0" applyFont="1" applyBorder="1" applyAlignment="1" applyProtection="1">
      <alignment horizontal="center"/>
      <protection hidden="1"/>
    </xf>
    <xf numFmtId="3" fontId="24" fillId="0" borderId="5" xfId="0" applyNumberFormat="1" applyFont="1" applyBorder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3" fontId="24" fillId="34" borderId="0" xfId="0" applyNumberFormat="1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1" fillId="0" borderId="0" xfId="0" applyNumberFormat="1" applyFont="1" applyProtection="1">
      <protection hidden="1"/>
    </xf>
    <xf numFmtId="2" fontId="21" fillId="0" borderId="0" xfId="0" applyNumberFormat="1" applyFont="1" applyProtection="1">
      <protection hidden="1"/>
    </xf>
    <xf numFmtId="49" fontId="20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5" fillId="0" borderId="0" xfId="0" applyNumberFormat="1" applyFont="1" applyBorder="1" applyAlignment="1" applyProtection="1">
      <protection hidden="1"/>
    </xf>
    <xf numFmtId="3" fontId="25" fillId="0" borderId="2" xfId="0" applyNumberFormat="1" applyFont="1" applyFill="1" applyBorder="1" applyAlignment="1" applyProtection="1">
      <alignment horizontal="center" vertical="center"/>
      <protection hidden="1"/>
    </xf>
    <xf numFmtId="3" fontId="25" fillId="0" borderId="3" xfId="0" applyNumberFormat="1" applyFont="1" applyFill="1" applyBorder="1" applyAlignment="1" applyProtection="1">
      <alignment horizontal="center" vertical="center"/>
      <protection hidden="1"/>
    </xf>
    <xf numFmtId="4" fontId="25" fillId="0" borderId="3" xfId="0" applyNumberFormat="1" applyFont="1" applyFill="1" applyBorder="1" applyAlignment="1" applyProtection="1">
      <alignment horizontal="center" vertical="center"/>
      <protection hidden="1"/>
    </xf>
    <xf numFmtId="3" fontId="25" fillId="0" borderId="4" xfId="0" applyNumberFormat="1" applyFont="1" applyBorder="1" applyAlignment="1" applyProtection="1">
      <alignment horizontal="center"/>
      <protection hidden="1"/>
    </xf>
    <xf numFmtId="3" fontId="25" fillId="0" borderId="4" xfId="0" applyNumberFormat="1" applyFont="1" applyFill="1" applyBorder="1" applyAlignment="1" applyProtection="1">
      <alignment horizontal="center"/>
      <protection hidden="1"/>
    </xf>
    <xf numFmtId="4" fontId="25" fillId="0" borderId="4" xfId="0" applyNumberFormat="1" applyFont="1" applyFill="1" applyBorder="1" applyAlignment="1" applyProtection="1">
      <alignment horizontal="center"/>
      <protection hidden="1"/>
    </xf>
    <xf numFmtId="3" fontId="25" fillId="34" borderId="0" xfId="0" applyNumberFormat="1" applyFont="1" applyFill="1" applyBorder="1" applyAlignment="1" applyProtection="1">
      <alignment horizontal="center"/>
      <protection hidden="1"/>
    </xf>
    <xf numFmtId="4" fontId="24" fillId="34" borderId="0" xfId="0" applyNumberFormat="1" applyFont="1" applyFill="1" applyBorder="1" applyAlignment="1" applyProtection="1">
      <alignment horizontal="center"/>
      <protection hidden="1"/>
    </xf>
    <xf numFmtId="0" fontId="21" fillId="34" borderId="0" xfId="0" applyFont="1" applyFill="1" applyProtection="1">
      <protection hidden="1"/>
    </xf>
    <xf numFmtId="4" fontId="21" fillId="0" borderId="0" xfId="0" applyNumberFormat="1" applyFont="1" applyProtection="1">
      <protection hidden="1"/>
    </xf>
    <xf numFmtId="3" fontId="24" fillId="0" borderId="3" xfId="0" applyNumberFormat="1" applyFont="1" applyBorder="1" applyAlignment="1" applyProtection="1">
      <alignment horizontal="center"/>
      <protection hidden="1"/>
    </xf>
    <xf numFmtId="3" fontId="24" fillId="0" borderId="5" xfId="0" applyNumberFormat="1" applyFont="1" applyBorder="1" applyAlignment="1" applyProtection="1">
      <alignment horizontal="center" wrapText="1"/>
      <protection hidden="1"/>
    </xf>
    <xf numFmtId="3" fontId="24" fillId="0" borderId="5" xfId="0" applyNumberFormat="1" applyFont="1" applyFill="1" applyBorder="1" applyAlignment="1" applyProtection="1">
      <alignment horizontal="center" wrapText="1"/>
      <protection hidden="1"/>
    </xf>
    <xf numFmtId="2" fontId="21" fillId="0" borderId="0" xfId="0" applyNumberFormat="1" applyFont="1"/>
    <xf numFmtId="0" fontId="25" fillId="34" borderId="0" xfId="0" applyNumberFormat="1" applyFont="1" applyFill="1" applyProtection="1">
      <protection hidden="1"/>
    </xf>
    <xf numFmtId="0" fontId="20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5" fillId="34" borderId="0" xfId="0" applyNumberFormat="1" applyFont="1" applyFill="1" applyProtection="1">
      <protection hidden="1"/>
    </xf>
    <xf numFmtId="2" fontId="25" fillId="34" borderId="0" xfId="0" applyNumberFormat="1" applyFont="1" applyFill="1" applyAlignment="1" applyProtection="1">
      <alignment wrapText="1"/>
      <protection hidden="1"/>
    </xf>
    <xf numFmtId="2" fontId="21" fillId="34" borderId="0" xfId="0" applyNumberFormat="1" applyFont="1" applyFill="1" applyProtection="1">
      <protection hidden="1"/>
    </xf>
    <xf numFmtId="3" fontId="30" fillId="0" borderId="0" xfId="42" applyNumberFormat="1" applyFont="1" applyAlignment="1">
      <alignment wrapText="1"/>
    </xf>
    <xf numFmtId="0" fontId="28" fillId="0" borderId="0" xfId="42"/>
    <xf numFmtId="0" fontId="31" fillId="0" borderId="19" xfId="42" applyFont="1" applyBorder="1"/>
    <xf numFmtId="0" fontId="31" fillId="0" borderId="0" xfId="42" applyFont="1" applyBorder="1" applyProtection="1">
      <protection locked="0"/>
    </xf>
    <xf numFmtId="165" fontId="32" fillId="0" borderId="0" xfId="42" applyNumberFormat="1" applyFont="1" applyAlignment="1">
      <alignment horizontal="center"/>
    </xf>
    <xf numFmtId="0" fontId="31" fillId="0" borderId="20" xfId="42" applyFont="1" applyBorder="1"/>
    <xf numFmtId="164" fontId="32" fillId="0" borderId="21" xfId="42" applyNumberFormat="1" applyFont="1" applyBorder="1" applyAlignment="1" applyProtection="1">
      <alignment horizontal="left"/>
      <protection hidden="1"/>
    </xf>
    <xf numFmtId="3" fontId="30" fillId="0" borderId="21" xfId="42" applyNumberFormat="1" applyFont="1" applyBorder="1" applyAlignment="1" applyProtection="1">
      <alignment horizontal="center"/>
      <protection hidden="1"/>
    </xf>
    <xf numFmtId="3" fontId="30" fillId="0" borderId="22" xfId="42" applyNumberFormat="1" applyFont="1" applyBorder="1" applyAlignment="1">
      <alignment horizontal="center"/>
    </xf>
    <xf numFmtId="3" fontId="32" fillId="0" borderId="0" xfId="42" applyNumberFormat="1" applyFont="1" applyAlignment="1">
      <alignment horizontal="center"/>
    </xf>
    <xf numFmtId="0" fontId="31" fillId="0" borderId="0" xfId="42" applyFont="1"/>
    <xf numFmtId="164" fontId="32" fillId="0" borderId="0" xfId="42" applyNumberFormat="1" applyFont="1" applyAlignment="1" applyProtection="1">
      <alignment horizontal="left"/>
      <protection hidden="1"/>
    </xf>
    <xf numFmtId="3" fontId="30" fillId="0" borderId="0" xfId="42" applyNumberFormat="1" applyFont="1" applyAlignment="1" applyProtection="1">
      <alignment horizontal="center"/>
      <protection hidden="1"/>
    </xf>
    <xf numFmtId="3" fontId="30" fillId="0" borderId="0" xfId="42" applyNumberFormat="1" applyFont="1" applyAlignment="1">
      <alignment horizontal="center"/>
    </xf>
    <xf numFmtId="0" fontId="31" fillId="0" borderId="2" xfId="42" applyFont="1" applyBorder="1"/>
    <xf numFmtId="0" fontId="31" fillId="0" borderId="23" xfId="42" applyFont="1" applyBorder="1" applyProtection="1">
      <protection hidden="1"/>
    </xf>
    <xf numFmtId="3" fontId="25" fillId="0" borderId="23" xfId="42" applyNumberFormat="1" applyFont="1" applyBorder="1" applyAlignment="1" applyProtection="1">
      <alignment horizontal="center"/>
      <protection hidden="1"/>
    </xf>
    <xf numFmtId="3" fontId="25" fillId="0" borderId="24" xfId="42" applyNumberFormat="1" applyFont="1" applyBorder="1" applyAlignment="1">
      <alignment horizontal="center"/>
    </xf>
    <xf numFmtId="3" fontId="25" fillId="0" borderId="0" xfId="42" applyNumberFormat="1" applyFont="1" applyAlignment="1">
      <alignment horizontal="center"/>
    </xf>
    <xf numFmtId="0" fontId="25" fillId="0" borderId="19" xfId="42" applyFont="1" applyBorder="1"/>
    <xf numFmtId="0" fontId="33" fillId="0" borderId="0" xfId="42" applyFont="1" applyBorder="1" applyProtection="1">
      <protection hidden="1"/>
    </xf>
    <xf numFmtId="5" fontId="33" fillId="0" borderId="0" xfId="42" applyNumberFormat="1" applyFont="1" applyBorder="1" applyProtection="1">
      <protection hidden="1"/>
    </xf>
    <xf numFmtId="3" fontId="32" fillId="0" borderId="6" xfId="42" applyNumberFormat="1" applyFont="1" applyBorder="1"/>
    <xf numFmtId="5" fontId="33" fillId="0" borderId="0" xfId="42" applyNumberFormat="1" applyFont="1" applyBorder="1"/>
    <xf numFmtId="3" fontId="32" fillId="0" borderId="0" xfId="42" applyNumberFormat="1" applyFont="1"/>
    <xf numFmtId="5" fontId="33" fillId="0" borderId="1" xfId="42" applyNumberFormat="1" applyFont="1" applyBorder="1" applyProtection="1">
      <protection hidden="1"/>
    </xf>
    <xf numFmtId="3" fontId="32" fillId="0" borderId="0" xfId="42" applyNumberFormat="1" applyFont="1" applyBorder="1"/>
    <xf numFmtId="0" fontId="33" fillId="0" borderId="0" xfId="42" applyFont="1" applyBorder="1" applyAlignment="1" applyProtection="1">
      <alignment horizontal="center"/>
      <protection hidden="1"/>
    </xf>
    <xf numFmtId="3" fontId="32" fillId="0" borderId="0" xfId="42" applyNumberFormat="1" applyFont="1" applyProtection="1">
      <protection hidden="1"/>
    </xf>
    <xf numFmtId="5" fontId="33" fillId="0" borderId="0" xfId="42" applyNumberFormat="1" applyFont="1" applyBorder="1" applyAlignment="1" applyProtection="1">
      <alignment horizontal="center"/>
      <protection hidden="1"/>
    </xf>
    <xf numFmtId="0" fontId="33" fillId="0" borderId="21" xfId="42" applyFont="1" applyBorder="1" applyAlignment="1" applyProtection="1">
      <alignment horizontal="center"/>
      <protection hidden="1"/>
    </xf>
    <xf numFmtId="166" fontId="33" fillId="0" borderId="0" xfId="42" applyNumberFormat="1" applyFont="1" applyBorder="1" applyAlignment="1" applyProtection="1">
      <alignment horizontal="left"/>
      <protection hidden="1"/>
    </xf>
    <xf numFmtId="3" fontId="25" fillId="0" borderId="6" xfId="42" applyNumberFormat="1" applyFont="1" applyBorder="1" applyAlignment="1">
      <alignment horizontal="center"/>
    </xf>
    <xf numFmtId="167" fontId="33" fillId="0" borderId="0" xfId="42" applyNumberFormat="1" applyFont="1" applyBorder="1" applyAlignment="1" applyProtection="1">
      <alignment horizontal="left"/>
      <protection hidden="1"/>
    </xf>
    <xf numFmtId="14" fontId="33" fillId="0" borderId="0" xfId="42" applyNumberFormat="1" applyFont="1" applyBorder="1" applyAlignment="1" applyProtection="1">
      <alignment horizontal="left"/>
      <protection hidden="1"/>
    </xf>
    <xf numFmtId="0" fontId="25" fillId="0" borderId="20" xfId="42" applyFont="1" applyBorder="1"/>
    <xf numFmtId="14" fontId="33" fillId="0" borderId="21" xfId="42" applyNumberFormat="1" applyFont="1" applyBorder="1" applyAlignment="1" applyProtection="1">
      <alignment horizontal="left"/>
      <protection hidden="1"/>
    </xf>
    <xf numFmtId="5" fontId="33" fillId="0" borderId="21" xfId="42" applyNumberFormat="1" applyFont="1" applyBorder="1" applyProtection="1">
      <protection hidden="1"/>
    </xf>
    <xf numFmtId="3" fontId="32" fillId="0" borderId="22" xfId="42" applyNumberFormat="1" applyFont="1" applyBorder="1"/>
    <xf numFmtId="0" fontId="25" fillId="0" borderId="0" xfId="42" applyFont="1" applyBorder="1"/>
    <xf numFmtId="0" fontId="25" fillId="0" borderId="2" xfId="42" applyFont="1" applyBorder="1"/>
    <xf numFmtId="14" fontId="33" fillId="0" borderId="23" xfId="42" applyNumberFormat="1" applyFont="1" applyBorder="1" applyAlignment="1" applyProtection="1">
      <alignment horizontal="left"/>
      <protection hidden="1"/>
    </xf>
    <xf numFmtId="5" fontId="33" fillId="0" borderId="23" xfId="42" applyNumberFormat="1" applyFont="1" applyBorder="1" applyProtection="1">
      <protection hidden="1"/>
    </xf>
    <xf numFmtId="3" fontId="32" fillId="0" borderId="24" xfId="42" applyNumberFormat="1" applyFont="1" applyBorder="1"/>
    <xf numFmtId="3" fontId="33" fillId="0" borderId="0" xfId="42" applyNumberFormat="1" applyFont="1" applyBorder="1" applyProtection="1">
      <protection hidden="1"/>
    </xf>
    <xf numFmtId="0" fontId="33" fillId="0" borderId="23" xfId="42" applyFont="1" applyBorder="1" applyProtection="1">
      <protection hidden="1"/>
    </xf>
    <xf numFmtId="3" fontId="33" fillId="0" borderId="23" xfId="42" applyNumberFormat="1" applyFont="1" applyBorder="1" applyProtection="1">
      <protection hidden="1"/>
    </xf>
    <xf numFmtId="7" fontId="33" fillId="0" borderId="0" xfId="42" applyNumberFormat="1" applyFont="1" applyBorder="1" applyProtection="1">
      <protection hidden="1"/>
    </xf>
    <xf numFmtId="7" fontId="33" fillId="0" borderId="1" xfId="42" applyNumberFormat="1" applyFont="1" applyBorder="1" applyProtection="1">
      <protection hidden="1"/>
    </xf>
    <xf numFmtId="0" fontId="31" fillId="0" borderId="21" xfId="42" applyFont="1" applyBorder="1" applyProtection="1">
      <protection hidden="1"/>
    </xf>
    <xf numFmtId="3" fontId="32" fillId="0" borderId="21" xfId="42" applyNumberFormat="1" applyFont="1" applyBorder="1" applyProtection="1">
      <protection hidden="1"/>
    </xf>
    <xf numFmtId="0" fontId="31" fillId="0" borderId="0" xfId="42" applyFont="1" applyBorder="1"/>
    <xf numFmtId="0" fontId="28" fillId="0" borderId="0" xfId="42" applyFont="1"/>
    <xf numFmtId="168" fontId="28" fillId="33" borderId="0" xfId="42" applyNumberFormat="1" applyFont="1" applyFill="1"/>
    <xf numFmtId="164" fontId="21" fillId="0" borderId="0" xfId="0" quotePrefix="1" applyNumberFormat="1" applyFont="1" applyProtection="1">
      <protection hidden="1"/>
    </xf>
    <xf numFmtId="0" fontId="2" fillId="0" borderId="0" xfId="43"/>
    <xf numFmtId="3" fontId="36" fillId="0" borderId="1" xfId="43" applyNumberFormat="1" applyFont="1" applyBorder="1"/>
    <xf numFmtId="49" fontId="21" fillId="0" borderId="0" xfId="0" quotePrefix="1" applyNumberFormat="1" applyFont="1"/>
    <xf numFmtId="5" fontId="33" fillId="0" borderId="0" xfId="42" applyNumberFormat="1" applyFont="1" applyFill="1" applyBorder="1" applyProtection="1">
      <protection hidden="1"/>
    </xf>
    <xf numFmtId="3" fontId="24" fillId="0" borderId="0" xfId="0" applyNumberFormat="1" applyFont="1" applyBorder="1" applyAlignment="1" applyProtection="1">
      <alignment wrapText="1"/>
      <protection hidden="1"/>
    </xf>
    <xf numFmtId="0" fontId="2" fillId="0" borderId="0" xfId="43" applyBorder="1" applyAlignment="1" applyProtection="1">
      <alignment horizontal="center" wrapText="1"/>
      <protection hidden="1"/>
    </xf>
    <xf numFmtId="0" fontId="36" fillId="0" borderId="0" xfId="43" applyFont="1" applyAlignment="1" applyProtection="1">
      <protection hidden="1"/>
    </xf>
    <xf numFmtId="0" fontId="33" fillId="0" borderId="0" xfId="42" applyFont="1" applyBorder="1" applyAlignment="1" applyProtection="1">
      <alignment horizontal="right"/>
      <protection hidden="1"/>
    </xf>
    <xf numFmtId="14" fontId="33" fillId="0" borderId="0" xfId="42" applyNumberFormat="1" applyFont="1" applyBorder="1" applyAlignment="1" applyProtection="1">
      <alignment horizontal="right"/>
      <protection hidden="1"/>
    </xf>
    <xf numFmtId="7" fontId="33" fillId="0" borderId="1" xfId="42" applyNumberFormat="1" applyFont="1" applyBorder="1" applyAlignment="1" applyProtection="1">
      <alignment horizontal="right"/>
      <protection hidden="1"/>
    </xf>
    <xf numFmtId="0" fontId="28" fillId="34" borderId="0" xfId="42" applyFill="1"/>
    <xf numFmtId="3" fontId="32" fillId="34" borderId="0" xfId="42" applyNumberFormat="1" applyFont="1" applyFill="1"/>
    <xf numFmtId="5" fontId="33" fillId="34" borderId="0" xfId="42" applyNumberFormat="1" applyFont="1" applyFill="1" applyBorder="1"/>
    <xf numFmtId="3" fontId="32" fillId="34" borderId="0" xfId="42" applyNumberFormat="1" applyFont="1" applyFill="1" applyBorder="1"/>
    <xf numFmtId="3" fontId="24" fillId="34" borderId="3" xfId="0" applyNumberFormat="1" applyFont="1" applyFill="1" applyBorder="1" applyAlignment="1" applyProtection="1">
      <alignment wrapText="1"/>
      <protection hidden="1"/>
    </xf>
    <xf numFmtId="0" fontId="28" fillId="0" borderId="2" xfId="42" applyBorder="1"/>
    <xf numFmtId="0" fontId="28" fillId="0" borderId="23" xfId="42" applyBorder="1"/>
    <xf numFmtId="0" fontId="28" fillId="0" borderId="24" xfId="42" applyBorder="1"/>
    <xf numFmtId="0" fontId="28" fillId="0" borderId="19" xfId="42" applyBorder="1"/>
    <xf numFmtId="0" fontId="36" fillId="0" borderId="6" xfId="43" applyFont="1" applyBorder="1" applyAlignment="1" applyProtection="1">
      <alignment horizontal="center"/>
      <protection hidden="1"/>
    </xf>
    <xf numFmtId="0" fontId="36" fillId="0" borderId="6" xfId="43" applyFont="1" applyBorder="1" applyAlignment="1" applyProtection="1">
      <alignment horizontal="center" wrapText="1"/>
      <protection hidden="1"/>
    </xf>
    <xf numFmtId="0" fontId="28" fillId="0" borderId="6" xfId="42" applyBorder="1"/>
    <xf numFmtId="0" fontId="28" fillId="0" borderId="20" xfId="42" applyBorder="1"/>
    <xf numFmtId="0" fontId="28" fillId="0" borderId="21" xfId="42" applyBorder="1"/>
    <xf numFmtId="0" fontId="28" fillId="0" borderId="22" xfId="42" applyBorder="1"/>
    <xf numFmtId="3" fontId="24" fillId="34" borderId="24" xfId="0" applyNumberFormat="1" applyFont="1" applyFill="1" applyBorder="1" applyAlignment="1" applyProtection="1">
      <alignment wrapText="1"/>
      <protection hidden="1"/>
    </xf>
    <xf numFmtId="0" fontId="28" fillId="0" borderId="0" xfId="42" applyBorder="1"/>
    <xf numFmtId="5" fontId="28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1" fillId="37" borderId="0" xfId="0" applyNumberFormat="1" applyFont="1" applyFill="1" applyProtection="1">
      <protection hidden="1"/>
    </xf>
    <xf numFmtId="0" fontId="25" fillId="37" borderId="0" xfId="0" applyFont="1" applyFill="1" applyProtection="1">
      <protection hidden="1"/>
    </xf>
    <xf numFmtId="2" fontId="21" fillId="37" borderId="0" xfId="0" applyNumberFormat="1" applyFont="1" applyFill="1" applyAlignment="1" applyProtection="1">
      <alignment horizontal="right"/>
      <protection hidden="1"/>
    </xf>
    <xf numFmtId="3" fontId="21" fillId="37" borderId="0" xfId="0" applyNumberFormat="1" applyFont="1" applyFill="1" applyAlignment="1" applyProtection="1">
      <alignment horizontal="right"/>
      <protection hidden="1"/>
    </xf>
    <xf numFmtId="0" fontId="21" fillId="37" borderId="0" xfId="0" applyFont="1" applyFill="1" applyProtection="1">
      <protection hidden="1"/>
    </xf>
    <xf numFmtId="3" fontId="24" fillId="0" borderId="3" xfId="0" applyNumberFormat="1" applyFont="1" applyFill="1" applyBorder="1" applyAlignment="1" applyProtection="1">
      <alignment horizontal="center"/>
      <protection hidden="1"/>
    </xf>
    <xf numFmtId="3" fontId="24" fillId="0" borderId="5" xfId="0" applyNumberFormat="1" applyFont="1" applyFill="1" applyBorder="1" applyAlignment="1" applyProtection="1">
      <alignment horizontal="center"/>
      <protection hidden="1"/>
    </xf>
    <xf numFmtId="3" fontId="24" fillId="0" borderId="0" xfId="0" applyNumberFormat="1" applyFont="1" applyFill="1" applyBorder="1" applyAlignment="1" applyProtection="1">
      <alignment horizontal="center"/>
      <protection hidden="1"/>
    </xf>
    <xf numFmtId="3" fontId="21" fillId="0" borderId="0" xfId="0" applyNumberFormat="1" applyFont="1" applyFill="1" applyProtection="1">
      <protection hidden="1"/>
    </xf>
    <xf numFmtId="3" fontId="21" fillId="0" borderId="1" xfId="0" applyNumberFormat="1" applyFont="1" applyFill="1" applyBorder="1" applyProtection="1">
      <protection hidden="1"/>
    </xf>
    <xf numFmtId="3" fontId="20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49" fontId="1" fillId="0" borderId="0" xfId="44" applyNumberFormat="1"/>
    <xf numFmtId="3" fontId="1" fillId="0" borderId="0" xfId="44" applyNumberFormat="1"/>
    <xf numFmtId="0" fontId="2" fillId="0" borderId="0" xfId="43" applyAlignment="1">
      <alignment vertical="center" wrapText="1"/>
    </xf>
    <xf numFmtId="0" fontId="2" fillId="34" borderId="0" xfId="43" applyFill="1"/>
    <xf numFmtId="49" fontId="1" fillId="34" borderId="0" xfId="44" applyNumberFormat="1" applyFill="1"/>
    <xf numFmtId="0" fontId="1" fillId="34" borderId="0" xfId="44" applyNumberFormat="1" applyFill="1"/>
    <xf numFmtId="49" fontId="2" fillId="34" borderId="0" xfId="43" applyNumberFormat="1" applyFill="1"/>
    <xf numFmtId="0" fontId="36" fillId="0" borderId="0" xfId="43" applyFont="1" applyAlignment="1">
      <alignment vertical="center" wrapText="1"/>
    </xf>
    <xf numFmtId="0" fontId="36" fillId="34" borderId="0" xfId="44" applyFont="1" applyFill="1"/>
    <xf numFmtId="0" fontId="36" fillId="0" borderId="0" xfId="44" applyFont="1"/>
    <xf numFmtId="0" fontId="1" fillId="0" borderId="0" xfId="43" quotePrefix="1" applyFont="1"/>
    <xf numFmtId="0" fontId="36" fillId="0" borderId="0" xfId="43" applyFont="1"/>
    <xf numFmtId="164" fontId="22" fillId="0" borderId="0" xfId="0" applyNumberFormat="1" applyFont="1" applyBorder="1" applyAlignment="1" applyProtection="1">
      <alignment horizontal="center"/>
      <protection hidden="1"/>
    </xf>
    <xf numFmtId="164" fontId="26" fillId="0" borderId="0" xfId="0" applyNumberFormat="1" applyFont="1" applyBorder="1" applyAlignment="1" applyProtection="1">
      <alignment horizontal="center"/>
      <protection hidden="1"/>
    </xf>
    <xf numFmtId="0" fontId="25" fillId="33" borderId="0" xfId="0" applyFont="1" applyFill="1" applyAlignment="1" applyProtection="1">
      <alignment horizontal="center" wrapText="1"/>
      <protection hidden="1"/>
    </xf>
    <xf numFmtId="0" fontId="25" fillId="34" borderId="0" xfId="0" applyFont="1" applyFill="1" applyAlignment="1" applyProtection="1">
      <alignment horizont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6" xfId="0" applyFont="1" applyBorder="1" applyAlignment="1" applyProtection="1">
      <alignment horizontal="center"/>
      <protection hidden="1"/>
    </xf>
    <xf numFmtId="3" fontId="24" fillId="0" borderId="7" xfId="0" applyNumberFormat="1" applyFont="1" applyBorder="1" applyAlignment="1" applyProtection="1">
      <alignment horizontal="center" vertical="center"/>
      <protection hidden="1"/>
    </xf>
    <xf numFmtId="3" fontId="24" fillId="0" borderId="8" xfId="0" applyNumberFormat="1" applyFont="1" applyBorder="1" applyAlignment="1" applyProtection="1">
      <alignment horizontal="center" vertical="center"/>
      <protection hidden="1"/>
    </xf>
    <xf numFmtId="3" fontId="24" fillId="0" borderId="9" xfId="0" applyNumberFormat="1" applyFont="1" applyBorder="1" applyAlignment="1" applyProtection="1">
      <alignment horizontal="center" vertical="center"/>
      <protection hidden="1"/>
    </xf>
    <xf numFmtId="164" fontId="26" fillId="0" borderId="0" xfId="0" applyNumberFormat="1" applyFont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alignment horizontal="center" wrapText="1"/>
      <protection hidden="1"/>
    </xf>
    <xf numFmtId="164" fontId="24" fillId="33" borderId="0" xfId="0" applyNumberFormat="1" applyFont="1" applyFill="1" applyBorder="1" applyAlignment="1" applyProtection="1">
      <alignment horizontal="center"/>
      <protection hidden="1"/>
    </xf>
    <xf numFmtId="0" fontId="25" fillId="34" borderId="0" xfId="0" applyNumberFormat="1" applyFont="1" applyFill="1" applyAlignment="1" applyProtection="1">
      <alignment horizontal="center" wrapText="1"/>
      <protection hidden="1"/>
    </xf>
    <xf numFmtId="3" fontId="22" fillId="0" borderId="0" xfId="0" applyNumberFormat="1" applyFont="1" applyBorder="1" applyAlignment="1" applyProtection="1">
      <alignment horizontal="center"/>
      <protection hidden="1"/>
    </xf>
    <xf numFmtId="14" fontId="26" fillId="0" borderId="23" xfId="42" applyNumberFormat="1" applyFont="1" applyBorder="1" applyAlignment="1" applyProtection="1">
      <alignment horizontal="center" wrapText="1"/>
      <protection hidden="1"/>
    </xf>
    <xf numFmtId="14" fontId="26" fillId="0" borderId="0" xfId="42" applyNumberFormat="1" applyFont="1" applyBorder="1" applyAlignment="1" applyProtection="1">
      <alignment horizontal="center" wrapText="1"/>
      <protection hidden="1"/>
    </xf>
    <xf numFmtId="14" fontId="26" fillId="0" borderId="21" xfId="42" applyNumberFormat="1" applyFont="1" applyBorder="1" applyAlignment="1" applyProtection="1">
      <alignment horizontal="center" wrapText="1"/>
      <protection hidden="1"/>
    </xf>
    <xf numFmtId="3" fontId="26" fillId="0" borderId="0" xfId="0" applyNumberFormat="1" applyFont="1" applyBorder="1" applyAlignment="1" applyProtection="1">
      <alignment horizontal="center" wrapText="1"/>
      <protection hidden="1"/>
    </xf>
    <xf numFmtId="3" fontId="26" fillId="0" borderId="21" xfId="0" applyNumberFormat="1" applyFont="1" applyBorder="1" applyAlignment="1" applyProtection="1">
      <alignment horizontal="center" wrapText="1"/>
      <protection hidden="1"/>
    </xf>
    <xf numFmtId="3" fontId="26" fillId="0" borderId="0" xfId="0" applyNumberFormat="1" applyFont="1" applyFill="1" applyBorder="1" applyAlignment="1" applyProtection="1">
      <alignment horizontal="center" wrapText="1"/>
      <protection hidden="1"/>
    </xf>
    <xf numFmtId="3" fontId="26" fillId="0" borderId="21" xfId="0" applyNumberFormat="1" applyFont="1" applyFill="1" applyBorder="1" applyAlignment="1" applyProtection="1">
      <alignment horizontal="center" wrapText="1"/>
      <protection hidden="1"/>
    </xf>
    <xf numFmtId="3" fontId="29" fillId="35" borderId="7" xfId="42" applyNumberFormat="1" applyFont="1" applyFill="1" applyBorder="1" applyAlignment="1">
      <alignment horizontal="center" wrapText="1"/>
    </xf>
    <xf numFmtId="3" fontId="29" fillId="35" borderId="8" xfId="42" applyNumberFormat="1" applyFont="1" applyFill="1" applyBorder="1" applyAlignment="1">
      <alignment horizontal="center" wrapText="1"/>
    </xf>
    <xf numFmtId="3" fontId="29" fillId="35" borderId="9" xfId="42" applyNumberFormat="1" applyFont="1" applyFill="1" applyBorder="1" applyAlignment="1">
      <alignment horizontal="center" wrapText="1"/>
    </xf>
    <xf numFmtId="3" fontId="29" fillId="0" borderId="0" xfId="42" applyNumberFormat="1" applyFont="1" applyBorder="1" applyAlignment="1">
      <alignment horizontal="center" wrapText="1"/>
    </xf>
    <xf numFmtId="3" fontId="29" fillId="0" borderId="6" xfId="42" applyNumberFormat="1" applyFont="1" applyBorder="1" applyAlignment="1">
      <alignment horizontal="center" wrapText="1"/>
    </xf>
    <xf numFmtId="3" fontId="22" fillId="0" borderId="23" xfId="0" applyNumberFormat="1" applyFont="1" applyBorder="1" applyAlignment="1" applyProtection="1">
      <alignment horizontal="center"/>
      <protection hidden="1"/>
    </xf>
    <xf numFmtId="3" fontId="22" fillId="0" borderId="24" xfId="0" applyNumberFormat="1" applyFont="1" applyBorder="1" applyAlignment="1" applyProtection="1">
      <alignment horizontal="center"/>
      <protection hidden="1"/>
    </xf>
    <xf numFmtId="3" fontId="22" fillId="0" borderId="6" xfId="0" applyNumberFormat="1" applyFont="1" applyBorder="1" applyAlignment="1" applyProtection="1">
      <alignment horizontal="center"/>
      <protection hidden="1"/>
    </xf>
    <xf numFmtId="0" fontId="0" fillId="34" borderId="0" xfId="0" applyFill="1" applyProtection="1">
      <protection hidden="1"/>
    </xf>
    <xf numFmtId="49" fontId="0" fillId="34" borderId="0" xfId="0" applyNumberFormat="1" applyFill="1" applyBorder="1" applyProtection="1">
      <protection hidden="1"/>
    </xf>
    <xf numFmtId="164" fontId="37" fillId="0" borderId="0" xfId="0" applyNumberFormat="1" applyFont="1" applyAlignment="1" applyProtection="1">
      <alignment horizontal="center"/>
      <protection hidden="1"/>
    </xf>
    <xf numFmtId="49" fontId="38" fillId="34" borderId="0" xfId="0" applyNumberFormat="1" applyFont="1" applyFill="1" applyBorder="1" applyAlignment="1" applyProtection="1">
      <protection hidden="1"/>
    </xf>
    <xf numFmtId="164" fontId="38" fillId="0" borderId="0" xfId="0" applyNumberFormat="1" applyFont="1" applyAlignment="1" applyProtection="1">
      <protection hidden="1"/>
    </xf>
    <xf numFmtId="49" fontId="38" fillId="34" borderId="0" xfId="0" applyNumberFormat="1" applyFont="1" applyFill="1" applyBorder="1" applyProtection="1">
      <protection hidden="1"/>
    </xf>
    <xf numFmtId="0" fontId="38" fillId="0" borderId="0" xfId="0" applyFont="1" applyProtection="1">
      <protection hidden="1"/>
    </xf>
    <xf numFmtId="0" fontId="0" fillId="36" borderId="0" xfId="0" applyFill="1" applyProtection="1">
      <protection hidden="1"/>
    </xf>
    <xf numFmtId="0" fontId="36" fillId="0" borderId="0" xfId="0" applyFont="1" applyAlignment="1" applyProtection="1">
      <alignment horizontal="center"/>
      <protection hidden="1"/>
    </xf>
    <xf numFmtId="0" fontId="36" fillId="36" borderId="0" xfId="0" applyFont="1" applyFill="1" applyProtection="1">
      <protection hidden="1"/>
    </xf>
    <xf numFmtId="0" fontId="36" fillId="0" borderId="0" xfId="0" applyFont="1" applyProtection="1">
      <protection hidden="1"/>
    </xf>
    <xf numFmtId="49" fontId="38" fillId="34" borderId="0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Border="1" applyProtection="1">
      <protection hidden="1"/>
    </xf>
    <xf numFmtId="0" fontId="36" fillId="0" borderId="0" xfId="0" applyFont="1" applyBorder="1" applyAlignment="1" applyProtection="1">
      <alignment horizontal="center" wrapText="1"/>
      <protection hidden="1"/>
    </xf>
    <xf numFmtId="0" fontId="36" fillId="0" borderId="21" xfId="0" applyFont="1" applyBorder="1" applyAlignment="1" applyProtection="1">
      <alignment horizontal="center" wrapText="1"/>
      <protection hidden="1"/>
    </xf>
    <xf numFmtId="0" fontId="36" fillId="36" borderId="21" xfId="0" applyFont="1" applyFill="1" applyBorder="1" applyProtection="1">
      <protection hidden="1"/>
    </xf>
    <xf numFmtId="4" fontId="37" fillId="0" borderId="21" xfId="0" applyNumberFormat="1" applyFont="1" applyBorder="1" applyAlignment="1" applyProtection="1">
      <alignment horizontal="center" wrapText="1"/>
      <protection hidden="1"/>
    </xf>
    <xf numFmtId="4" fontId="37" fillId="0" borderId="0" xfId="0" applyNumberFormat="1" applyFont="1" applyBorder="1" applyAlignment="1" applyProtection="1">
      <alignment horizontal="center" wrapText="1"/>
      <protection hidden="1"/>
    </xf>
    <xf numFmtId="0" fontId="0" fillId="34" borderId="0" xfId="0" applyFill="1"/>
    <xf numFmtId="0" fontId="0" fillId="0" borderId="25" xfId="0" applyBorder="1"/>
    <xf numFmtId="0" fontId="0" fillId="34" borderId="25" xfId="0" applyFill="1" applyBorder="1"/>
    <xf numFmtId="4" fontId="0" fillId="0" borderId="25" xfId="0" applyNumberFormat="1" applyBorder="1" applyProtection="1">
      <protection hidden="1"/>
    </xf>
    <xf numFmtId="0" fontId="0" fillId="36" borderId="25" xfId="0" applyFill="1" applyBorder="1" applyProtection="1">
      <protection hidden="1"/>
    </xf>
    <xf numFmtId="4" fontId="0" fillId="0" borderId="0" xfId="0" applyNumberFormat="1" applyProtection="1">
      <protection hidden="1"/>
    </xf>
    <xf numFmtId="4" fontId="36" fillId="0" borderId="1" xfId="0" applyNumberFormat="1" applyFont="1" applyBorder="1" applyProtection="1">
      <protection hidden="1"/>
    </xf>
    <xf numFmtId="0" fontId="0" fillId="0" borderId="0" xfId="0" quotePrefix="1" applyProtection="1"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rmal 4" xfId="44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tax%20Payment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rtaxPayment"/>
      <sheetName val="Feb100%_MainframeOutput"/>
      <sheetName val="Dec100%_MainframeOutput"/>
      <sheetName val="SurtaxRatesSAS"/>
      <sheetName val="Payment_MainframeOutput Feb"/>
      <sheetName val="Dec_Payment_MainframeOutput"/>
      <sheetName val="ShowsHowDeltwithDisolution"/>
      <sheetName val="ShowsHowDeltWithDisolution2"/>
    </sheetNames>
    <sheetDataSet>
      <sheetData sheetId="0"/>
      <sheetData sheetId="1"/>
      <sheetData sheetId="2">
        <row r="197">
          <cell r="B197">
            <v>69319000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1" name="Data" displayName="Data" ref="A1:AN332" totalsRowShown="0" headerRowDxfId="41" dataDxfId="40">
  <autoFilter ref="A1:AN332"/>
  <tableColumns count="40">
    <tableColumn id="1" name="FiscalYear" dataDxfId="39"/>
    <tableColumn id="2" name="Dist" dataDxfId="38"/>
    <tableColumn id="3" name="DistrictNumber" dataDxfId="37"/>
    <tableColumn id="4" name="Label" dataDxfId="36"/>
    <tableColumn id="5" name="Original Budget (Aid and Levy 16.12)" dataDxfId="35"/>
    <tableColumn id="6" name="Preschool State Admin Reduction" dataDxfId="34"/>
    <tableColumn id="7" name="Juvenile Home Reduction (Starts in January)" dataDxfId="33"/>
    <tableColumn id="8" name="Spec Ed Excess Pos Balance Reduction" dataDxfId="32"/>
    <tableColumn id="9" name="Pay 1 Regular State Payment Budget" dataDxfId="31"/>
    <tableColumn id="10" name="Pay 2 Regular State Payment Budget" dataDxfId="30"/>
    <tableColumn id="11" name="Pay 3 Regular State Payment Budget" dataDxfId="29"/>
    <tableColumn id="12" name="Preschool State Aid (Code 3117)" dataDxfId="28"/>
    <tableColumn id="13" name="Teacher Salary (Code 3204)" dataDxfId="27"/>
    <tableColumn id="14" name="Early Intervention (Code 3216)" dataDxfId="26"/>
    <tableColumn id="15" name="Professional Development (Code 3376)" dataDxfId="25"/>
    <tableColumn id="16" name="Teacher Leadership (Code 3116)" dataDxfId="24"/>
    <tableColumn id="17" name="Pay 1 State Foundation Aid (Code 3111)" dataDxfId="23"/>
    <tableColumn id="18" name="Pay 2 State Foundation Aid (Code 3111)" dataDxfId="22"/>
    <tableColumn id="19" name="Pay 3 State Foundation Aid (Code 3111)" dataDxfId="21"/>
    <tableColumn id="20" name="September Payment" dataDxfId="20"/>
    <tableColumn id="21" name="October Payment" dataDxfId="19"/>
    <tableColumn id="22" name="November Payment" dataDxfId="18"/>
    <tableColumn id="23" name="December Payment" dataDxfId="17"/>
    <tableColumn id="24" name="January Payment" dataDxfId="16"/>
    <tableColumn id="25" name="February Payment" dataDxfId="15"/>
    <tableColumn id="31" name="March Payment" dataDxfId="14"/>
    <tableColumn id="32" name="April Payment" dataDxfId="13"/>
    <tableColumn id="33" name="May Payment" dataDxfId="12"/>
    <tableColumn id="34" name="June Payment" dataDxfId="11"/>
    <tableColumn id="35" name="Paid Thru September" dataDxfId="10"/>
    <tableColumn id="36" name="Paid Thru October" dataDxfId="9"/>
    <tableColumn id="37" name="Paid Thru November" dataDxfId="8"/>
    <tableColumn id="38" name="Paid Thru December" dataDxfId="7"/>
    <tableColumn id="39" name="Paid Thru January" dataDxfId="6"/>
    <tableColumn id="40" name="Paid Thru February" dataDxfId="5"/>
    <tableColumn id="41" name="Paid Thru March" dataDxfId="4"/>
    <tableColumn id="42" name="Paid Thru April" dataDxfId="3"/>
    <tableColumn id="43" name="Paid Thru May" dataDxfId="2"/>
    <tableColumn id="44" name="Paid Thru June" dataDxfId="1"/>
    <tableColumn id="26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35"/>
  <sheetViews>
    <sheetView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F336" sqref="F336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7" width="16.140625" style="27" customWidth="1"/>
    <col min="8" max="8" width="12" style="26" customWidth="1"/>
    <col min="9" max="16384" width="9.140625" style="26"/>
  </cols>
  <sheetData>
    <row r="1" spans="1:8" s="11" customFormat="1" ht="17.25" customHeight="1" x14ac:dyDescent="0.3">
      <c r="A1" s="180" t="str">
        <f>CONCATENATE("FY ",Notes!$B$1," Budget for State Payments to School Districts (Budget Total)")</f>
        <v>FY 2019 Budget for State Payments to School Districts (Budget Total)</v>
      </c>
      <c r="B1" s="180"/>
      <c r="C1" s="180"/>
      <c r="D1" s="180"/>
      <c r="E1" s="180"/>
      <c r="F1" s="180"/>
      <c r="G1" s="180"/>
      <c r="H1" s="10"/>
    </row>
    <row r="2" spans="1:8" s="11" customFormat="1" ht="14.45" customHeight="1" x14ac:dyDescent="0.2">
      <c r="A2" s="181" t="s">
        <v>18</v>
      </c>
      <c r="B2" s="181"/>
      <c r="C2" s="181"/>
      <c r="D2" s="181"/>
      <c r="E2" s="181"/>
      <c r="F2" s="181"/>
      <c r="G2" s="181"/>
      <c r="H2" s="12"/>
    </row>
    <row r="3" spans="1:8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6" t="s">
        <v>12</v>
      </c>
    </row>
    <row r="4" spans="1:8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Data[[#Headers],[Juvenile Home Reduction (Starts in January)]]</f>
        <v>Juvenile Home Reduction (Starts in January)</v>
      </c>
      <c r="F4" s="18" t="str">
        <f>Data[[#Headers],[Spec Ed Excess Pos Balance Reduction]]</f>
        <v>Spec Ed Excess Pos Balance Reduction</v>
      </c>
      <c r="G4" s="18" t="str">
        <f>Notes!$B$3</f>
        <v>Pay 3 Regular State Payment Budget</v>
      </c>
    </row>
    <row r="5" spans="1:8" s="14" customFormat="1" ht="38.25" x14ac:dyDescent="0.2">
      <c r="A5" s="13"/>
      <c r="B5" s="19"/>
      <c r="C5" s="62" t="s">
        <v>708</v>
      </c>
      <c r="D5" s="62" t="s">
        <v>709</v>
      </c>
      <c r="E5" s="62" t="s">
        <v>710</v>
      </c>
      <c r="F5" s="62" t="s">
        <v>711</v>
      </c>
      <c r="G5" s="63" t="s">
        <v>762</v>
      </c>
    </row>
    <row r="6" spans="1:8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3000075</v>
      </c>
      <c r="D6" s="22">
        <f>INDEX(Data[],MATCH($A6,Data[Dist],0),MATCH(D$4,Data[#Headers],0))</f>
        <v>630</v>
      </c>
      <c r="E6" s="22">
        <f>IF(Notes!$B$3="Pay 1 Regular State Payment Budget",0,INDEX(Data[],MATCH($A6,Data[Dist],0),MATCH(E$4,Data[#Headers],0)))</f>
        <v>15644</v>
      </c>
      <c r="F6" s="22">
        <f>IF(OR(Notes!$B$3="Pay 1 Regular State Payment Budget",Notes!$B$3="Pay 2 Regular State Payment Budget"),0,INDEX(Data[],MATCH($A6,Data[Dist],0),MATCH(F$4,Data[#Headers],0)))</f>
        <v>0</v>
      </c>
      <c r="G6" s="22">
        <f>INDEX(Data[],MATCH($A6,Data[Dist],0),MATCH(G$4,Data[#Headers],0))</f>
        <v>2983801</v>
      </c>
    </row>
    <row r="7" spans="1:8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1457627</v>
      </c>
      <c r="D7" s="22">
        <f>INDEX(Data[],MATCH($A7,Data[Dist],0),MATCH(D$4,Data[#Headers],0))</f>
        <v>166</v>
      </c>
      <c r="E7" s="22">
        <f>IF(Notes!$B$3="Pay 1 Regular State Payment Budget",0,INDEX(Data[],MATCH($A7,Data[Dist],0),MATCH(E$4,Data[#Headers],0)))</f>
        <v>7501</v>
      </c>
      <c r="F7" s="22">
        <f>IF(OR(Notes!$B$3="Pay 1 Regular State Payment Budget",Notes!$B$3="Pay 2 Regular State Payment Budget"),0,INDEX(Data[],MATCH($A7,Data[Dist],0),MATCH(F$4,Data[#Headers],0)))</f>
        <v>0</v>
      </c>
      <c r="G7" s="22">
        <f>INDEX(Data[],MATCH($A7,Data[Dist],0),MATCH(G$4,Data[#Headers],0))</f>
        <v>1449960</v>
      </c>
    </row>
    <row r="8" spans="1:8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10676268</v>
      </c>
      <c r="D8" s="22">
        <f>INDEX(Data[],MATCH($A8,Data[Dist],0),MATCH(D$4,Data[#Headers],0))</f>
        <v>0</v>
      </c>
      <c r="E8" s="22">
        <f>IF(Notes!$B$3="Pay 1 Regular State Payment Budget",0,INDEX(Data[],MATCH($A8,Data[Dist],0),MATCH(E$4,Data[#Headers],0)))</f>
        <v>43208</v>
      </c>
      <c r="F8" s="22">
        <f>IF(OR(Notes!$B$3="Pay 1 Regular State Payment Budget",Notes!$B$3="Pay 2 Regular State Payment Budget"),0,INDEX(Data[],MATCH($A8,Data[Dist],0),MATCH(F$4,Data[#Headers],0)))</f>
        <v>0</v>
      </c>
      <c r="G8" s="22">
        <f>INDEX(Data[],MATCH($A8,Data[Dist],0),MATCH(G$4,Data[#Headers],0))</f>
        <v>10633060</v>
      </c>
    </row>
    <row r="9" spans="1:8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3536320</v>
      </c>
      <c r="D9" s="22">
        <f>INDEX(Data[],MATCH($A9,Data[Dist],0),MATCH(D$4,Data[#Headers],0))</f>
        <v>531</v>
      </c>
      <c r="E9" s="22">
        <f>IF(Notes!$B$3="Pay 1 Regular State Payment Budget",0,INDEX(Data[],MATCH($A9,Data[Dist],0),MATCH(E$4,Data[#Headers],0)))</f>
        <v>13606</v>
      </c>
      <c r="F9" s="22">
        <f>IF(OR(Notes!$B$3="Pay 1 Regular State Payment Budget",Notes!$B$3="Pay 2 Regular State Payment Budget"),0,INDEX(Data[],MATCH($A9,Data[Dist],0),MATCH(F$4,Data[#Headers],0)))</f>
        <v>0</v>
      </c>
      <c r="G9" s="22">
        <f>INDEX(Data[],MATCH($A9,Data[Dist],0),MATCH(G$4,Data[#Headers],0))</f>
        <v>3522183</v>
      </c>
    </row>
    <row r="10" spans="1:8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972663</v>
      </c>
      <c r="D10" s="22">
        <f>INDEX(Data[],MATCH($A10,Data[Dist],0),MATCH(D$4,Data[#Headers],0))</f>
        <v>265</v>
      </c>
      <c r="E10" s="22">
        <f>IF(Notes!$B$3="Pay 1 Regular State Payment Budget",0,INDEX(Data[],MATCH($A10,Data[Dist],0),MATCH(E$4,Data[#Headers],0)))</f>
        <v>5350</v>
      </c>
      <c r="F10" s="22">
        <f>IF(OR(Notes!$B$3="Pay 1 Regular State Payment Budget",Notes!$B$3="Pay 2 Regular State Payment Budget"),0,INDEX(Data[],MATCH($A10,Data[Dist],0),MATCH(F$4,Data[#Headers],0)))</f>
        <v>5699</v>
      </c>
      <c r="G10" s="22">
        <f>INDEX(Data[],MATCH($A10,Data[Dist],0),MATCH(G$4,Data[#Headers],0))</f>
        <v>961349</v>
      </c>
    </row>
    <row r="11" spans="1:8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7916418</v>
      </c>
      <c r="D11" s="22">
        <f>INDEX(Data[],MATCH($A11,Data[Dist],0),MATCH(D$4,Data[#Headers],0))</f>
        <v>1095</v>
      </c>
      <c r="E11" s="22">
        <f>IF(Notes!$B$3="Pay 1 Regular State Payment Budget",0,INDEX(Data[],MATCH($A11,Data[Dist],0),MATCH(E$4,Data[#Headers],0)))</f>
        <v>29545</v>
      </c>
      <c r="F11" s="22">
        <f>IF(OR(Notes!$B$3="Pay 1 Regular State Payment Budget",Notes!$B$3="Pay 2 Regular State Payment Budget"),0,INDEX(Data[],MATCH($A11,Data[Dist],0),MATCH(F$4,Data[#Headers],0)))</f>
        <v>7997</v>
      </c>
      <c r="G11" s="22">
        <f>INDEX(Data[],MATCH($A11,Data[Dist],0),MATCH(G$4,Data[#Headers],0))</f>
        <v>7877781</v>
      </c>
    </row>
    <row r="12" spans="1:8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2995295</v>
      </c>
      <c r="D12" s="22">
        <f>INDEX(Data[],MATCH($A12,Data[Dist],0),MATCH(D$4,Data[#Headers],0))</f>
        <v>531</v>
      </c>
      <c r="E12" s="22">
        <f>IF(Notes!$B$3="Pay 1 Regular State Payment Budget",0,INDEX(Data[],MATCH($A12,Data[Dist],0),MATCH(E$4,Data[#Headers],0)))</f>
        <v>13121</v>
      </c>
      <c r="F12" s="22">
        <f>IF(OR(Notes!$B$3="Pay 1 Regular State Payment Budget",Notes!$B$3="Pay 2 Regular State Payment Budget"),0,INDEX(Data[],MATCH($A12,Data[Dist],0),MATCH(F$4,Data[#Headers],0)))</f>
        <v>0</v>
      </c>
      <c r="G12" s="22">
        <f>INDEX(Data[],MATCH($A12,Data[Dist],0),MATCH(G$4,Data[#Headers],0))</f>
        <v>2981643</v>
      </c>
    </row>
    <row r="13" spans="1:8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1531327</v>
      </c>
      <c r="D13" s="22">
        <f>INDEX(Data[],MATCH($A13,Data[Dist],0),MATCH(D$4,Data[#Headers],0))</f>
        <v>348</v>
      </c>
      <c r="E13" s="22">
        <f>IF(Notes!$B$3="Pay 1 Regular State Payment Budget",0,INDEX(Data[],MATCH($A13,Data[Dist],0),MATCH(E$4,Data[#Headers],0)))</f>
        <v>6712</v>
      </c>
      <c r="F13" s="22">
        <f>IF(OR(Notes!$B$3="Pay 1 Regular State Payment Budget",Notes!$B$3="Pay 2 Regular State Payment Budget"),0,INDEX(Data[],MATCH($A13,Data[Dist],0),MATCH(F$4,Data[#Headers],0)))</f>
        <v>0</v>
      </c>
      <c r="G13" s="22">
        <f>INDEX(Data[],MATCH($A13,Data[Dist],0),MATCH(G$4,Data[#Headers],0))</f>
        <v>1524267</v>
      </c>
    </row>
    <row r="14" spans="1:8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6621694</v>
      </c>
      <c r="D14" s="22">
        <f>INDEX(Data[],MATCH($A14,Data[Dist],0),MATCH(D$4,Data[#Headers],0))</f>
        <v>1974</v>
      </c>
      <c r="E14" s="22">
        <f>IF(Notes!$B$3="Pay 1 Regular State Payment Budget",0,INDEX(Data[],MATCH($A14,Data[Dist],0),MATCH(E$4,Data[#Headers],0)))</f>
        <v>32877</v>
      </c>
      <c r="F14" s="22">
        <f>IF(OR(Notes!$B$3="Pay 1 Regular State Payment Budget",Notes!$B$3="Pay 2 Regular State Payment Budget"),0,INDEX(Data[],MATCH($A14,Data[Dist],0),MATCH(F$4,Data[#Headers],0)))</f>
        <v>0</v>
      </c>
      <c r="G14" s="22">
        <f>INDEX(Data[],MATCH($A14,Data[Dist],0),MATCH(G$4,Data[#Headers],0))</f>
        <v>6586843</v>
      </c>
    </row>
    <row r="15" spans="1:8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5927892</v>
      </c>
      <c r="D15" s="22">
        <f>INDEX(Data[],MATCH($A15,Data[Dist],0),MATCH(D$4,Data[#Headers],0))</f>
        <v>1161</v>
      </c>
      <c r="E15" s="22">
        <f>IF(Notes!$B$3="Pay 1 Regular State Payment Budget",0,INDEX(Data[],MATCH($A15,Data[Dist],0),MATCH(E$4,Data[#Headers],0)))</f>
        <v>27332</v>
      </c>
      <c r="F15" s="22">
        <f>IF(OR(Notes!$B$3="Pay 1 Regular State Payment Budget",Notes!$B$3="Pay 2 Regular State Payment Budget"),0,INDEX(Data[],MATCH($A15,Data[Dist],0),MATCH(F$4,Data[#Headers],0)))</f>
        <v>0</v>
      </c>
      <c r="G15" s="22">
        <f>INDEX(Data[],MATCH($A15,Data[Dist],0),MATCH(G$4,Data[#Headers],0))</f>
        <v>5899399</v>
      </c>
    </row>
    <row r="16" spans="1:8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3333314</v>
      </c>
      <c r="D16" s="22">
        <f>INDEX(Data[],MATCH($A16,Data[Dist],0),MATCH(D$4,Data[#Headers],0))</f>
        <v>580</v>
      </c>
      <c r="E16" s="22">
        <f>IF(Notes!$B$3="Pay 1 Regular State Payment Budget",0,INDEX(Data[],MATCH($A16,Data[Dist],0),MATCH(E$4,Data[#Headers],0)))</f>
        <v>14638</v>
      </c>
      <c r="F16" s="22">
        <f>IF(OR(Notes!$B$3="Pay 1 Regular State Payment Budget",Notes!$B$3="Pay 2 Regular State Payment Budget"),0,INDEX(Data[],MATCH($A16,Data[Dist],0),MATCH(F$4,Data[#Headers],0)))</f>
        <v>0</v>
      </c>
      <c r="G16" s="22">
        <f>INDEX(Data[],MATCH($A16,Data[Dist],0),MATCH(G$4,Data[#Headers],0))</f>
        <v>3318096</v>
      </c>
    </row>
    <row r="17" spans="1:7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4866192</v>
      </c>
      <c r="D17" s="22">
        <f>INDEX(Data[],MATCH($A17,Data[Dist],0),MATCH(D$4,Data[#Headers],0))</f>
        <v>1144</v>
      </c>
      <c r="E17" s="22">
        <f>IF(Notes!$B$3="Pay 1 Regular State Payment Budget",0,INDEX(Data[],MATCH($A17,Data[Dist],0),MATCH(E$4,Data[#Headers],0)))</f>
        <v>19359</v>
      </c>
      <c r="F17" s="22">
        <f>IF(OR(Notes!$B$3="Pay 1 Regular State Payment Budget",Notes!$B$3="Pay 2 Regular State Payment Budget"),0,INDEX(Data[],MATCH($A17,Data[Dist],0),MATCH(F$4,Data[#Headers],0)))</f>
        <v>0</v>
      </c>
      <c r="G17" s="22">
        <f>INDEX(Data[],MATCH($A17,Data[Dist],0),MATCH(G$4,Data[#Headers],0))</f>
        <v>4845689</v>
      </c>
    </row>
    <row r="18" spans="1:7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18229008</v>
      </c>
      <c r="D18" s="22">
        <f>INDEX(Data[],MATCH($A18,Data[Dist],0),MATCH(D$4,Data[#Headers],0))</f>
        <v>4594</v>
      </c>
      <c r="E18" s="22">
        <f>IF(Notes!$B$3="Pay 1 Regular State Payment Budget",0,INDEX(Data[],MATCH($A18,Data[Dist],0),MATCH(E$4,Data[#Headers],0)))</f>
        <v>107404</v>
      </c>
      <c r="F18" s="22">
        <f>IF(OR(Notes!$B$3="Pay 1 Regular State Payment Budget",Notes!$B$3="Pay 2 Regular State Payment Budget"),0,INDEX(Data[],MATCH($A18,Data[Dist],0),MATCH(F$4,Data[#Headers],0)))</f>
        <v>0</v>
      </c>
      <c r="G18" s="22">
        <f>INDEX(Data[],MATCH($A18,Data[Dist],0),MATCH(G$4,Data[#Headers],0))</f>
        <v>18117010</v>
      </c>
    </row>
    <row r="19" spans="1:7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7892502</v>
      </c>
      <c r="D19" s="22">
        <f>INDEX(Data[],MATCH($A19,Data[Dist],0),MATCH(D$4,Data[#Headers],0))</f>
        <v>1012</v>
      </c>
      <c r="E19" s="22">
        <f>IF(Notes!$B$3="Pay 1 Regular State Payment Budget",0,INDEX(Data[],MATCH($A19,Data[Dist],0),MATCH(E$4,Data[#Headers],0)))</f>
        <v>31928</v>
      </c>
      <c r="F19" s="22">
        <f>IF(OR(Notes!$B$3="Pay 1 Regular State Payment Budget",Notes!$B$3="Pay 2 Regular State Payment Budget"),0,INDEX(Data[],MATCH($A19,Data[Dist],0),MATCH(F$4,Data[#Headers],0)))</f>
        <v>0</v>
      </c>
      <c r="G19" s="22">
        <f>INDEX(Data[],MATCH($A19,Data[Dist],0),MATCH(G$4,Data[#Headers],0))</f>
        <v>7859562</v>
      </c>
    </row>
    <row r="20" spans="1:7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1413765</v>
      </c>
      <c r="D20" s="22">
        <f>INDEX(Data[],MATCH($A20,Data[Dist],0),MATCH(D$4,Data[#Headers],0))</f>
        <v>315</v>
      </c>
      <c r="E20" s="22">
        <f>IF(Notes!$B$3="Pay 1 Regular State Payment Budget",0,INDEX(Data[],MATCH($A20,Data[Dist],0),MATCH(E$4,Data[#Headers],0)))</f>
        <v>5952</v>
      </c>
      <c r="F20" s="22">
        <f>IF(OR(Notes!$B$3="Pay 1 Regular State Payment Budget",Notes!$B$3="Pay 2 Regular State Payment Budget"),0,INDEX(Data[],MATCH($A20,Data[Dist],0),MATCH(F$4,Data[#Headers],0)))</f>
        <v>0</v>
      </c>
      <c r="G20" s="22">
        <f>INDEX(Data[],MATCH($A20,Data[Dist],0),MATCH(G$4,Data[#Headers],0))</f>
        <v>1407498</v>
      </c>
    </row>
    <row r="21" spans="1:7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67027361</v>
      </c>
      <c r="D21" s="22">
        <f>INDEX(Data[],MATCH($A21,Data[Dist],0),MATCH(D$4,Data[#Headers],0))</f>
        <v>5374</v>
      </c>
      <c r="E21" s="22">
        <f>IF(Notes!$B$3="Pay 1 Regular State Payment Budget",0,INDEX(Data[],MATCH($A21,Data[Dist],0),MATCH(E$4,Data[#Headers],0)))</f>
        <v>288473</v>
      </c>
      <c r="F21" s="22">
        <f>IF(OR(Notes!$B$3="Pay 1 Regular State Payment Budget",Notes!$B$3="Pay 2 Regular State Payment Budget"),0,INDEX(Data[],MATCH($A21,Data[Dist],0),MATCH(F$4,Data[#Headers],0)))</f>
        <v>0</v>
      </c>
      <c r="G21" s="22">
        <f>INDEX(Data[],MATCH($A21,Data[Dist],0),MATCH(G$4,Data[#Headers],0))</f>
        <v>66733514</v>
      </c>
    </row>
    <row r="22" spans="1:7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5008505</v>
      </c>
      <c r="D22" s="22">
        <f>INDEX(Data[],MATCH($A22,Data[Dist],0),MATCH(D$4,Data[#Headers],0))</f>
        <v>779</v>
      </c>
      <c r="E22" s="22">
        <f>IF(Notes!$B$3="Pay 1 Regular State Payment Budget",0,INDEX(Data[],MATCH($A22,Data[Dist],0),MATCH(E$4,Data[#Headers],0)))</f>
        <v>20595</v>
      </c>
      <c r="F22" s="22">
        <f>IF(OR(Notes!$B$3="Pay 1 Regular State Payment Budget",Notes!$B$3="Pay 2 Regular State Payment Budget"),0,INDEX(Data[],MATCH($A22,Data[Dist],0),MATCH(F$4,Data[#Headers],0)))</f>
        <v>0</v>
      </c>
      <c r="G22" s="22">
        <f>INDEX(Data[],MATCH($A22,Data[Dist],0),MATCH(G$4,Data[#Headers],0))</f>
        <v>4987131</v>
      </c>
    </row>
    <row r="23" spans="1:7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1482374</v>
      </c>
      <c r="D23" s="22">
        <f>INDEX(Data[],MATCH($A23,Data[Dist],0),MATCH(D$4,Data[#Headers],0))</f>
        <v>232</v>
      </c>
      <c r="E23" s="22">
        <f>IF(Notes!$B$3="Pay 1 Regular State Payment Budget",0,INDEX(Data[],MATCH($A23,Data[Dist],0),MATCH(E$4,Data[#Headers],0)))</f>
        <v>10316</v>
      </c>
      <c r="F23" s="22">
        <f>IF(OR(Notes!$B$3="Pay 1 Regular State Payment Budget",Notes!$B$3="Pay 2 Regular State Payment Budget"),0,INDEX(Data[],MATCH($A23,Data[Dist],0),MATCH(F$4,Data[#Headers],0)))</f>
        <v>0</v>
      </c>
      <c r="G23" s="22">
        <f>INDEX(Data[],MATCH($A23,Data[Dist],0),MATCH(G$4,Data[#Headers],0))</f>
        <v>1471826</v>
      </c>
    </row>
    <row r="24" spans="1:7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1023195</v>
      </c>
      <c r="D24" s="22">
        <f>INDEX(Data[],MATCH($A24,Data[Dist],0),MATCH(D$4,Data[#Headers],0))</f>
        <v>199</v>
      </c>
      <c r="E24" s="22">
        <f>IF(Notes!$B$3="Pay 1 Regular State Payment Budget",0,INDEX(Data[],MATCH($A24,Data[Dist],0),MATCH(E$4,Data[#Headers],0)))</f>
        <v>6669</v>
      </c>
      <c r="F24" s="22">
        <f>IF(OR(Notes!$B$3="Pay 1 Regular State Payment Budget",Notes!$B$3="Pay 2 Regular State Payment Budget"),0,INDEX(Data[],MATCH($A24,Data[Dist],0),MATCH(F$4,Data[#Headers],0)))</f>
        <v>0</v>
      </c>
      <c r="G24" s="22">
        <f>INDEX(Data[],MATCH($A24,Data[Dist],0),MATCH(G$4,Data[#Headers],0))</f>
        <v>1016327</v>
      </c>
    </row>
    <row r="25" spans="1:7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8552546</v>
      </c>
      <c r="D25" s="22">
        <f>INDEX(Data[],MATCH($A25,Data[Dist],0),MATCH(D$4,Data[#Headers],0))</f>
        <v>1609</v>
      </c>
      <c r="E25" s="22">
        <f>IF(Notes!$B$3="Pay 1 Regular State Payment Budget",0,INDEX(Data[],MATCH($A25,Data[Dist],0),MATCH(E$4,Data[#Headers],0)))</f>
        <v>33774</v>
      </c>
      <c r="F25" s="22">
        <f>IF(OR(Notes!$B$3="Pay 1 Regular State Payment Budget",Notes!$B$3="Pay 2 Regular State Payment Budget"),0,INDEX(Data[],MATCH($A25,Data[Dist],0),MATCH(F$4,Data[#Headers],0)))</f>
        <v>0</v>
      </c>
      <c r="G25" s="22">
        <f>INDEX(Data[],MATCH($A25,Data[Dist],0),MATCH(G$4,Data[#Headers],0))</f>
        <v>8517163</v>
      </c>
    </row>
    <row r="26" spans="1:7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2737356</v>
      </c>
      <c r="D26" s="22">
        <f>INDEX(Data[],MATCH($A26,Data[Dist],0),MATCH(D$4,Data[#Headers],0))</f>
        <v>630</v>
      </c>
      <c r="E26" s="22">
        <f>IF(Notes!$B$3="Pay 1 Regular State Payment Budget",0,INDEX(Data[],MATCH($A26,Data[Dist],0),MATCH(E$4,Data[#Headers],0)))</f>
        <v>12267</v>
      </c>
      <c r="F26" s="22">
        <f>IF(OR(Notes!$B$3="Pay 1 Regular State Payment Budget",Notes!$B$3="Pay 2 Regular State Payment Budget"),0,INDEX(Data[],MATCH($A26,Data[Dist],0),MATCH(F$4,Data[#Headers],0)))</f>
        <v>35696</v>
      </c>
      <c r="G26" s="22">
        <f>INDEX(Data[],MATCH($A26,Data[Dist],0),MATCH(G$4,Data[#Headers],0))</f>
        <v>2688763</v>
      </c>
    </row>
    <row r="27" spans="1:7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4060263</v>
      </c>
      <c r="D27" s="22">
        <f>INDEX(Data[],MATCH($A27,Data[Dist],0),MATCH(D$4,Data[#Headers],0))</f>
        <v>498</v>
      </c>
      <c r="E27" s="22">
        <f>IF(Notes!$B$3="Pay 1 Regular State Payment Budget",0,INDEX(Data[],MATCH($A27,Data[Dist],0),MATCH(E$4,Data[#Headers],0)))</f>
        <v>19776</v>
      </c>
      <c r="F27" s="22">
        <f>IF(OR(Notes!$B$3="Pay 1 Regular State Payment Budget",Notes!$B$3="Pay 2 Regular State Payment Budget"),0,INDEX(Data[],MATCH($A27,Data[Dist],0),MATCH(F$4,Data[#Headers],0)))</f>
        <v>0</v>
      </c>
      <c r="G27" s="22">
        <f>INDEX(Data[],MATCH($A27,Data[Dist],0),MATCH(G$4,Data[#Headers],0))</f>
        <v>4039989</v>
      </c>
    </row>
    <row r="28" spans="1:7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11306699</v>
      </c>
      <c r="D28" s="22">
        <f>INDEX(Data[],MATCH($A28,Data[Dist],0),MATCH(D$4,Data[#Headers],0))</f>
        <v>2355</v>
      </c>
      <c r="E28" s="22">
        <f>IF(Notes!$B$3="Pay 1 Regular State Payment Budget",0,INDEX(Data[],MATCH($A28,Data[Dist],0),MATCH(E$4,Data[#Headers],0)))</f>
        <v>40446</v>
      </c>
      <c r="F28" s="22">
        <f>IF(OR(Notes!$B$3="Pay 1 Regular State Payment Budget",Notes!$B$3="Pay 2 Regular State Payment Budget"),0,INDEX(Data[],MATCH($A28,Data[Dist],0),MATCH(F$4,Data[#Headers],0)))</f>
        <v>0</v>
      </c>
      <c r="G28" s="22">
        <f>INDEX(Data[],MATCH($A28,Data[Dist],0),MATCH(G$4,Data[#Headers],0))</f>
        <v>11263898</v>
      </c>
    </row>
    <row r="29" spans="1:7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2009220</v>
      </c>
      <c r="D29" s="22">
        <f>INDEX(Data[],MATCH($A29,Data[Dist],0),MATCH(D$4,Data[#Headers],0))</f>
        <v>564</v>
      </c>
      <c r="E29" s="22">
        <f>IF(Notes!$B$3="Pay 1 Regular State Payment Budget",0,INDEX(Data[],MATCH($A29,Data[Dist],0),MATCH(E$4,Data[#Headers],0)))</f>
        <v>7878</v>
      </c>
      <c r="F29" s="22">
        <f>IF(OR(Notes!$B$3="Pay 1 Regular State Payment Budget",Notes!$B$3="Pay 2 Regular State Payment Budget"),0,INDEX(Data[],MATCH($A29,Data[Dist],0),MATCH(F$4,Data[#Headers],0)))</f>
        <v>26023</v>
      </c>
      <c r="G29" s="22">
        <f>INDEX(Data[],MATCH($A29,Data[Dist],0),MATCH(G$4,Data[#Headers],0))</f>
        <v>1974755</v>
      </c>
    </row>
    <row r="30" spans="1:7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2912835</v>
      </c>
      <c r="D30" s="22">
        <f>INDEX(Data[],MATCH($A30,Data[Dist],0),MATCH(D$4,Data[#Headers],0))</f>
        <v>381</v>
      </c>
      <c r="E30" s="22">
        <f>IF(Notes!$B$3="Pay 1 Regular State Payment Budget",0,INDEX(Data[],MATCH($A30,Data[Dist],0),MATCH(E$4,Data[#Headers],0)))</f>
        <v>13271</v>
      </c>
      <c r="F30" s="22">
        <f>IF(OR(Notes!$B$3="Pay 1 Regular State Payment Budget",Notes!$B$3="Pay 2 Regular State Payment Budget"),0,INDEX(Data[],MATCH($A30,Data[Dist],0),MATCH(F$4,Data[#Headers],0)))</f>
        <v>0</v>
      </c>
      <c r="G30" s="22">
        <f>INDEX(Data[],MATCH($A30,Data[Dist],0),MATCH(G$4,Data[#Headers],0))</f>
        <v>2899183</v>
      </c>
    </row>
    <row r="31" spans="1:7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2473582</v>
      </c>
      <c r="D31" s="22">
        <f>INDEX(Data[],MATCH($A31,Data[Dist],0),MATCH(D$4,Data[#Headers],0))</f>
        <v>614</v>
      </c>
      <c r="E31" s="22">
        <f>IF(Notes!$B$3="Pay 1 Regular State Payment Budget",0,INDEX(Data[],MATCH($A31,Data[Dist],0),MATCH(E$4,Data[#Headers],0)))</f>
        <v>11243</v>
      </c>
      <c r="F31" s="22">
        <f>IF(OR(Notes!$B$3="Pay 1 Regular State Payment Budget",Notes!$B$3="Pay 2 Regular State Payment Budget"),0,INDEX(Data[],MATCH($A31,Data[Dist],0),MATCH(F$4,Data[#Headers],0)))</f>
        <v>0</v>
      </c>
      <c r="G31" s="22">
        <f>INDEX(Data[],MATCH($A31,Data[Dist],0),MATCH(G$4,Data[#Headers],0))</f>
        <v>2461725</v>
      </c>
    </row>
    <row r="32" spans="1:7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3240194</v>
      </c>
      <c r="D32" s="22">
        <f>INDEX(Data[],MATCH($A32,Data[Dist],0),MATCH(D$4,Data[#Headers],0))</f>
        <v>365</v>
      </c>
      <c r="E32" s="22">
        <f>IF(Notes!$B$3="Pay 1 Regular State Payment Budget",0,INDEX(Data[],MATCH($A32,Data[Dist],0),MATCH(E$4,Data[#Headers],0)))</f>
        <v>13309</v>
      </c>
      <c r="F32" s="22">
        <f>IF(OR(Notes!$B$3="Pay 1 Regular State Payment Budget",Notes!$B$3="Pay 2 Regular State Payment Budget"),0,INDEX(Data[],MATCH($A32,Data[Dist],0),MATCH(F$4,Data[#Headers],0)))</f>
        <v>0</v>
      </c>
      <c r="G32" s="22">
        <f>INDEX(Data[],MATCH($A32,Data[Dist],0),MATCH(G$4,Data[#Headers],0))</f>
        <v>3226520</v>
      </c>
    </row>
    <row r="33" spans="1:7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3118850</v>
      </c>
      <c r="D33" s="22">
        <f>INDEX(Data[],MATCH($A33,Data[Dist],0),MATCH(D$4,Data[#Headers],0))</f>
        <v>862</v>
      </c>
      <c r="E33" s="22">
        <f>IF(Notes!$B$3="Pay 1 Regular State Payment Budget",0,INDEX(Data[],MATCH($A33,Data[Dist],0),MATCH(E$4,Data[#Headers],0)))</f>
        <v>14518</v>
      </c>
      <c r="F33" s="22">
        <f>IF(OR(Notes!$B$3="Pay 1 Regular State Payment Budget",Notes!$B$3="Pay 2 Regular State Payment Budget"),0,INDEX(Data[],MATCH($A33,Data[Dist],0),MATCH(F$4,Data[#Headers],0)))</f>
        <v>0</v>
      </c>
      <c r="G33" s="22">
        <f>INDEX(Data[],MATCH($A33,Data[Dist],0),MATCH(G$4,Data[#Headers],0))</f>
        <v>3103470</v>
      </c>
    </row>
    <row r="34" spans="1:7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4687032</v>
      </c>
      <c r="D34" s="22">
        <f>INDEX(Data[],MATCH($A34,Data[Dist],0),MATCH(D$4,Data[#Headers],0))</f>
        <v>564</v>
      </c>
      <c r="E34" s="22">
        <f>IF(Notes!$B$3="Pay 1 Regular State Payment Budget",0,INDEX(Data[],MATCH($A34,Data[Dist],0),MATCH(E$4,Data[#Headers],0)))</f>
        <v>19923</v>
      </c>
      <c r="F34" s="22">
        <f>IF(OR(Notes!$B$3="Pay 1 Regular State Payment Budget",Notes!$B$3="Pay 2 Regular State Payment Budget"),0,INDEX(Data[],MATCH($A34,Data[Dist],0),MATCH(F$4,Data[#Headers],0)))</f>
        <v>0</v>
      </c>
      <c r="G34" s="22">
        <f>INDEX(Data[],MATCH($A34,Data[Dist],0),MATCH(G$4,Data[#Headers],0))</f>
        <v>4666545</v>
      </c>
    </row>
    <row r="35" spans="1:7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947053</v>
      </c>
      <c r="D35" s="22">
        <f>INDEX(Data[],MATCH($A35,Data[Dist],0),MATCH(D$4,Data[#Headers],0))</f>
        <v>149</v>
      </c>
      <c r="E35" s="22">
        <f>IF(Notes!$B$3="Pay 1 Regular State Payment Budget",0,INDEX(Data[],MATCH($A35,Data[Dist],0),MATCH(E$4,Data[#Headers],0)))</f>
        <v>4674</v>
      </c>
      <c r="F35" s="22">
        <f>IF(OR(Notes!$B$3="Pay 1 Regular State Payment Budget",Notes!$B$3="Pay 2 Regular State Payment Budget"),0,INDEX(Data[],MATCH($A35,Data[Dist],0),MATCH(F$4,Data[#Headers],0)))</f>
        <v>17109</v>
      </c>
      <c r="G35" s="22">
        <f>INDEX(Data[],MATCH($A35,Data[Dist],0),MATCH(G$4,Data[#Headers],0))</f>
        <v>925121</v>
      </c>
    </row>
    <row r="36" spans="1:7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7990154</v>
      </c>
      <c r="D36" s="22">
        <f>INDEX(Data[],MATCH($A36,Data[Dist],0),MATCH(D$4,Data[#Headers],0))</f>
        <v>1559</v>
      </c>
      <c r="E36" s="22">
        <f>IF(Notes!$B$3="Pay 1 Regular State Payment Budget",0,INDEX(Data[],MATCH($A36,Data[Dist],0),MATCH(E$4,Data[#Headers],0)))</f>
        <v>37136</v>
      </c>
      <c r="F36" s="22">
        <f>IF(OR(Notes!$B$3="Pay 1 Regular State Payment Budget",Notes!$B$3="Pay 2 Regular State Payment Budget"),0,INDEX(Data[],MATCH($A36,Data[Dist],0),MATCH(F$4,Data[#Headers],0)))</f>
        <v>0</v>
      </c>
      <c r="G36" s="22">
        <f>INDEX(Data[],MATCH($A36,Data[Dist],0),MATCH(G$4,Data[#Headers],0))</f>
        <v>7951459</v>
      </c>
    </row>
    <row r="37" spans="1:7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23779985</v>
      </c>
      <c r="D37" s="22">
        <f>INDEX(Data[],MATCH($A37,Data[Dist],0),MATCH(D$4,Data[#Headers],0))</f>
        <v>4528</v>
      </c>
      <c r="E37" s="22">
        <f>IF(Notes!$B$3="Pay 1 Regular State Payment Budget",0,INDEX(Data[],MATCH($A37,Data[Dist],0),MATCH(E$4,Data[#Headers],0)))</f>
        <v>102413</v>
      </c>
      <c r="F37" s="22">
        <f>IF(OR(Notes!$B$3="Pay 1 Regular State Payment Budget",Notes!$B$3="Pay 2 Regular State Payment Budget"),0,INDEX(Data[],MATCH($A37,Data[Dist],0),MATCH(F$4,Data[#Headers],0)))</f>
        <v>0</v>
      </c>
      <c r="G37" s="22">
        <f>INDEX(Data[],MATCH($A37,Data[Dist],0),MATCH(G$4,Data[#Headers],0))</f>
        <v>23673044</v>
      </c>
    </row>
    <row r="38" spans="1:7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4344468</v>
      </c>
      <c r="D38" s="22">
        <f>INDEX(Data[],MATCH($A38,Data[Dist],0),MATCH(D$4,Data[#Headers],0))</f>
        <v>1111</v>
      </c>
      <c r="E38" s="22">
        <f>IF(Notes!$B$3="Pay 1 Regular State Payment Budget",0,INDEX(Data[],MATCH($A38,Data[Dist],0),MATCH(E$4,Data[#Headers],0)))</f>
        <v>21879</v>
      </c>
      <c r="F38" s="22">
        <f>IF(OR(Notes!$B$3="Pay 1 Regular State Payment Budget",Notes!$B$3="Pay 2 Regular State Payment Budget"),0,INDEX(Data[],MATCH($A38,Data[Dist],0),MATCH(F$4,Data[#Headers],0)))</f>
        <v>0</v>
      </c>
      <c r="G38" s="22">
        <f>INDEX(Data[],MATCH($A38,Data[Dist],0),MATCH(G$4,Data[#Headers],0))</f>
        <v>4321478</v>
      </c>
    </row>
    <row r="39" spans="1:7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13626926</v>
      </c>
      <c r="D39" s="22">
        <f>INDEX(Data[],MATCH($A39,Data[Dist],0),MATCH(D$4,Data[#Headers],0))</f>
        <v>1211</v>
      </c>
      <c r="E39" s="22">
        <f>IF(Notes!$B$3="Pay 1 Regular State Payment Budget",0,INDEX(Data[],MATCH($A39,Data[Dist],0),MATCH(E$4,Data[#Headers],0)))</f>
        <v>49693</v>
      </c>
      <c r="F39" s="22">
        <f>IF(OR(Notes!$B$3="Pay 1 Regular State Payment Budget",Notes!$B$3="Pay 2 Regular State Payment Budget"),0,INDEX(Data[],MATCH($A39,Data[Dist],0),MATCH(F$4,Data[#Headers],0)))</f>
        <v>0</v>
      </c>
      <c r="G39" s="22">
        <f>INDEX(Data[],MATCH($A39,Data[Dist],0),MATCH(G$4,Data[#Headers],0))</f>
        <v>13576022</v>
      </c>
    </row>
    <row r="40" spans="1:7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14037108</v>
      </c>
      <c r="D40" s="22">
        <f>INDEX(Data[],MATCH($A40,Data[Dist],0),MATCH(D$4,Data[#Headers],0))</f>
        <v>1924</v>
      </c>
      <c r="E40" s="22">
        <f>IF(Notes!$B$3="Pay 1 Regular State Payment Budget",0,INDEX(Data[],MATCH($A40,Data[Dist],0),MATCH(E$4,Data[#Headers],0)))</f>
        <v>51292</v>
      </c>
      <c r="F40" s="22">
        <f>IF(OR(Notes!$B$3="Pay 1 Regular State Payment Budget",Notes!$B$3="Pay 2 Regular State Payment Budget"),0,INDEX(Data[],MATCH($A40,Data[Dist],0),MATCH(F$4,Data[#Headers],0)))</f>
        <v>0</v>
      </c>
      <c r="G40" s="22">
        <f>INDEX(Data[],MATCH($A40,Data[Dist],0),MATCH(G$4,Data[#Headers],0))</f>
        <v>13983892</v>
      </c>
    </row>
    <row r="41" spans="1:7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3421079</v>
      </c>
      <c r="D41" s="22">
        <f>INDEX(Data[],MATCH($A41,Data[Dist],0),MATCH(D$4,Data[#Headers],0))</f>
        <v>912</v>
      </c>
      <c r="E41" s="22">
        <f>IF(Notes!$B$3="Pay 1 Regular State Payment Budget",0,INDEX(Data[],MATCH($A41,Data[Dist],0),MATCH(E$4,Data[#Headers],0)))</f>
        <v>14892</v>
      </c>
      <c r="F41" s="22">
        <f>IF(OR(Notes!$B$3="Pay 1 Regular State Payment Budget",Notes!$B$3="Pay 2 Regular State Payment Budget"),0,INDEX(Data[],MATCH($A41,Data[Dist],0),MATCH(F$4,Data[#Headers],0)))</f>
        <v>0</v>
      </c>
      <c r="G41" s="22">
        <f>INDEX(Data[],MATCH($A41,Data[Dist],0),MATCH(G$4,Data[#Headers],0))</f>
        <v>3405275</v>
      </c>
    </row>
    <row r="42" spans="1:7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2642640</v>
      </c>
      <c r="D42" s="22">
        <f>INDEX(Data[],MATCH($A42,Data[Dist],0),MATCH(D$4,Data[#Headers],0))</f>
        <v>580</v>
      </c>
      <c r="E42" s="22">
        <f>IF(Notes!$B$3="Pay 1 Regular State Payment Budget",0,INDEX(Data[],MATCH($A42,Data[Dist],0),MATCH(E$4,Data[#Headers],0)))</f>
        <v>13606</v>
      </c>
      <c r="F42" s="22">
        <f>IF(OR(Notes!$B$3="Pay 1 Regular State Payment Budget",Notes!$B$3="Pay 2 Regular State Payment Budget"),0,INDEX(Data[],MATCH($A42,Data[Dist],0),MATCH(F$4,Data[#Headers],0)))</f>
        <v>0</v>
      </c>
      <c r="G42" s="22">
        <f>INDEX(Data[],MATCH($A42,Data[Dist],0),MATCH(G$4,Data[#Headers],0))</f>
        <v>2628454</v>
      </c>
    </row>
    <row r="43" spans="1:7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3325345</v>
      </c>
      <c r="D43" s="22">
        <f>INDEX(Data[],MATCH($A43,Data[Dist],0),MATCH(D$4,Data[#Headers],0))</f>
        <v>547</v>
      </c>
      <c r="E43" s="22">
        <f>IF(Notes!$B$3="Pay 1 Regular State Payment Budget",0,INDEX(Data[],MATCH($A43,Data[Dist],0),MATCH(E$4,Data[#Headers],0)))</f>
        <v>14066</v>
      </c>
      <c r="F43" s="22">
        <f>IF(OR(Notes!$B$3="Pay 1 Regular State Payment Budget",Notes!$B$3="Pay 2 Regular State Payment Budget"),0,INDEX(Data[],MATCH($A43,Data[Dist],0),MATCH(F$4,Data[#Headers],0)))</f>
        <v>0</v>
      </c>
      <c r="G43" s="22">
        <f>INDEX(Data[],MATCH($A43,Data[Dist],0),MATCH(G$4,Data[#Headers],0))</f>
        <v>3310732</v>
      </c>
    </row>
    <row r="44" spans="1:7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2075843</v>
      </c>
      <c r="D44" s="22">
        <f>INDEX(Data[],MATCH($A44,Data[Dist],0),MATCH(D$4,Data[#Headers],0))</f>
        <v>580</v>
      </c>
      <c r="E44" s="22">
        <f>IF(Notes!$B$3="Pay 1 Regular State Payment Budget",0,INDEX(Data[],MATCH($A44,Data[Dist],0),MATCH(E$4,Data[#Headers],0)))</f>
        <v>11378</v>
      </c>
      <c r="F44" s="22">
        <f>IF(OR(Notes!$B$3="Pay 1 Regular State Payment Budget",Notes!$B$3="Pay 2 Regular State Payment Budget"),0,INDEX(Data[],MATCH($A44,Data[Dist],0),MATCH(F$4,Data[#Headers],0)))</f>
        <v>0</v>
      </c>
      <c r="G44" s="22">
        <f>INDEX(Data[],MATCH($A44,Data[Dist],0),MATCH(G$4,Data[#Headers],0))</f>
        <v>2063885</v>
      </c>
    </row>
    <row r="45" spans="1:7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30369624</v>
      </c>
      <c r="D45" s="22">
        <f>INDEX(Data[],MATCH($A45,Data[Dist],0),MATCH(D$4,Data[#Headers],0))</f>
        <v>3052</v>
      </c>
      <c r="E45" s="22">
        <f>IF(Notes!$B$3="Pay 1 Regular State Payment Budget",0,INDEX(Data[],MATCH($A45,Data[Dist],0),MATCH(E$4,Data[#Headers],0)))</f>
        <v>106492</v>
      </c>
      <c r="F45" s="22">
        <f>IF(OR(Notes!$B$3="Pay 1 Regular State Payment Budget",Notes!$B$3="Pay 2 Regular State Payment Budget"),0,INDEX(Data[],MATCH($A45,Data[Dist],0),MATCH(F$4,Data[#Headers],0)))</f>
        <v>1040169</v>
      </c>
      <c r="G45" s="22">
        <f>INDEX(Data[],MATCH($A45,Data[Dist],0),MATCH(G$4,Data[#Headers],0))</f>
        <v>29219911</v>
      </c>
    </row>
    <row r="46" spans="1:7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1771053</v>
      </c>
      <c r="D46" s="22">
        <f>INDEX(Data[],MATCH($A46,Data[Dist],0),MATCH(D$4,Data[#Headers],0))</f>
        <v>531</v>
      </c>
      <c r="E46" s="22">
        <f>IF(Notes!$B$3="Pay 1 Regular State Payment Budget",0,INDEX(Data[],MATCH($A46,Data[Dist],0),MATCH(E$4,Data[#Headers],0)))</f>
        <v>12412</v>
      </c>
      <c r="F46" s="22">
        <f>IF(OR(Notes!$B$3="Pay 1 Regular State Payment Budget",Notes!$B$3="Pay 2 Regular State Payment Budget"),0,INDEX(Data[],MATCH($A46,Data[Dist],0),MATCH(F$4,Data[#Headers],0)))</f>
        <v>0</v>
      </c>
      <c r="G46" s="22">
        <f>INDEX(Data[],MATCH($A46,Data[Dist],0),MATCH(G$4,Data[#Headers],0))</f>
        <v>1758110</v>
      </c>
    </row>
    <row r="47" spans="1:7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1574830</v>
      </c>
      <c r="D47" s="22">
        <f>INDEX(Data[],MATCH($A47,Data[Dist],0),MATCH(D$4,Data[#Headers],0))</f>
        <v>282</v>
      </c>
      <c r="E47" s="22">
        <f>IF(Notes!$B$3="Pay 1 Regular State Payment Budget",0,INDEX(Data[],MATCH($A47,Data[Dist],0),MATCH(E$4,Data[#Headers],0)))</f>
        <v>6415</v>
      </c>
      <c r="F47" s="22">
        <f>IF(OR(Notes!$B$3="Pay 1 Regular State Payment Budget",Notes!$B$3="Pay 2 Regular State Payment Budget"),0,INDEX(Data[],MATCH($A47,Data[Dist],0),MATCH(F$4,Data[#Headers],0)))</f>
        <v>0</v>
      </c>
      <c r="G47" s="22">
        <f>INDEX(Data[],MATCH($A47,Data[Dist],0),MATCH(G$4,Data[#Headers],0))</f>
        <v>1568133</v>
      </c>
    </row>
    <row r="48" spans="1:7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2523936</v>
      </c>
      <c r="D48" s="22">
        <f>INDEX(Data[],MATCH($A48,Data[Dist],0),MATCH(D$4,Data[#Headers],0))</f>
        <v>481</v>
      </c>
      <c r="E48" s="22">
        <f>IF(Notes!$B$3="Pay 1 Regular State Payment Budget",0,INDEX(Data[],MATCH($A48,Data[Dist],0),MATCH(E$4,Data[#Headers],0)))</f>
        <v>10923</v>
      </c>
      <c r="F48" s="22">
        <f>IF(OR(Notes!$B$3="Pay 1 Regular State Payment Budget",Notes!$B$3="Pay 2 Regular State Payment Budget"),0,INDEX(Data[],MATCH($A48,Data[Dist],0),MATCH(F$4,Data[#Headers],0)))</f>
        <v>0</v>
      </c>
      <c r="G48" s="22">
        <f>INDEX(Data[],MATCH($A48,Data[Dist],0),MATCH(G$4,Data[#Headers],0))</f>
        <v>2512532</v>
      </c>
    </row>
    <row r="49" spans="1:7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4829840</v>
      </c>
      <c r="D49" s="22">
        <f>INDEX(Data[],MATCH($A49,Data[Dist],0),MATCH(D$4,Data[#Headers],0))</f>
        <v>846</v>
      </c>
      <c r="E49" s="22">
        <f>IF(Notes!$B$3="Pay 1 Regular State Payment Budget",0,INDEX(Data[],MATCH($A49,Data[Dist],0),MATCH(E$4,Data[#Headers],0)))</f>
        <v>20965</v>
      </c>
      <c r="F49" s="22">
        <f>IF(OR(Notes!$B$3="Pay 1 Regular State Payment Budget",Notes!$B$3="Pay 2 Regular State Payment Budget"),0,INDEX(Data[],MATCH($A49,Data[Dist],0),MATCH(F$4,Data[#Headers],0)))</f>
        <v>0</v>
      </c>
      <c r="G49" s="22">
        <f>INDEX(Data[],MATCH($A49,Data[Dist],0),MATCH(G$4,Data[#Headers],0))</f>
        <v>4808029</v>
      </c>
    </row>
    <row r="50" spans="1:7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3920924</v>
      </c>
      <c r="D50" s="22">
        <f>INDEX(Data[],MATCH($A50,Data[Dist],0),MATCH(D$4,Data[#Headers],0))</f>
        <v>1277</v>
      </c>
      <c r="E50" s="22">
        <f>IF(Notes!$B$3="Pay 1 Regular State Payment Budget",0,INDEX(Data[],MATCH($A50,Data[Dist],0),MATCH(E$4,Data[#Headers],0)))</f>
        <v>14330</v>
      </c>
      <c r="F50" s="22">
        <f>IF(OR(Notes!$B$3="Pay 1 Regular State Payment Budget",Notes!$B$3="Pay 2 Regular State Payment Budget"),0,INDEX(Data[],MATCH($A50,Data[Dist],0),MATCH(F$4,Data[#Headers],0)))</f>
        <v>0</v>
      </c>
      <c r="G50" s="22">
        <f>INDEX(Data[],MATCH($A50,Data[Dist],0),MATCH(G$4,Data[#Headers],0))</f>
        <v>3905317</v>
      </c>
    </row>
    <row r="51" spans="1:7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13727731</v>
      </c>
      <c r="D51" s="22">
        <f>INDEX(Data[],MATCH($A51,Data[Dist],0),MATCH(D$4,Data[#Headers],0))</f>
        <v>1725</v>
      </c>
      <c r="E51" s="22">
        <f>IF(Notes!$B$3="Pay 1 Regular State Payment Budget",0,INDEX(Data[],MATCH($A51,Data[Dist],0),MATCH(E$4,Data[#Headers],0)))</f>
        <v>48551</v>
      </c>
      <c r="F51" s="22">
        <f>IF(OR(Notes!$B$3="Pay 1 Regular State Payment Budget",Notes!$B$3="Pay 2 Regular State Payment Budget"),0,INDEX(Data[],MATCH($A51,Data[Dist],0),MATCH(F$4,Data[#Headers],0)))</f>
        <v>0</v>
      </c>
      <c r="G51" s="22">
        <f>INDEX(Data[],MATCH($A51,Data[Dist],0),MATCH(G$4,Data[#Headers],0))</f>
        <v>13677455</v>
      </c>
    </row>
    <row r="52" spans="1:7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8288284</v>
      </c>
      <c r="D52" s="22">
        <f>INDEX(Data[],MATCH($A52,Data[Dist],0),MATCH(D$4,Data[#Headers],0))</f>
        <v>3101</v>
      </c>
      <c r="E52" s="22">
        <f>IF(Notes!$B$3="Pay 1 Regular State Payment Budget",0,INDEX(Data[],MATCH($A52,Data[Dist],0),MATCH(E$4,Data[#Headers],0)))</f>
        <v>42491</v>
      </c>
      <c r="F52" s="22">
        <f>IF(OR(Notes!$B$3="Pay 1 Regular State Payment Budget",Notes!$B$3="Pay 2 Regular State Payment Budget"),0,INDEX(Data[],MATCH($A52,Data[Dist],0),MATCH(F$4,Data[#Headers],0)))</f>
        <v>0</v>
      </c>
      <c r="G52" s="22">
        <f>INDEX(Data[],MATCH($A52,Data[Dist],0),MATCH(G$4,Data[#Headers],0))</f>
        <v>8242692</v>
      </c>
    </row>
    <row r="53" spans="1:7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29264970</v>
      </c>
      <c r="D53" s="22">
        <f>INDEX(Data[],MATCH($A53,Data[Dist],0),MATCH(D$4,Data[#Headers],0))</f>
        <v>2305</v>
      </c>
      <c r="E53" s="22">
        <f>IF(Notes!$B$3="Pay 1 Regular State Payment Budget",0,INDEX(Data[],MATCH($A53,Data[Dist],0),MATCH(E$4,Data[#Headers],0)))</f>
        <v>128079</v>
      </c>
      <c r="F53" s="22">
        <f>IF(OR(Notes!$B$3="Pay 1 Regular State Payment Budget",Notes!$B$3="Pay 2 Regular State Payment Budget"),0,INDEX(Data[],MATCH($A53,Data[Dist],0),MATCH(F$4,Data[#Headers],0)))</f>
        <v>0</v>
      </c>
      <c r="G53" s="22">
        <f>INDEX(Data[],MATCH($A53,Data[Dist],0),MATCH(G$4,Data[#Headers],0))</f>
        <v>29134586</v>
      </c>
    </row>
    <row r="54" spans="1:7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105046476</v>
      </c>
      <c r="D54" s="22">
        <f>INDEX(Data[],MATCH($A54,Data[Dist],0),MATCH(D$4,Data[#Headers],0))</f>
        <v>10780</v>
      </c>
      <c r="E54" s="22">
        <f>IF(Notes!$B$3="Pay 1 Regular State Payment Budget",0,INDEX(Data[],MATCH($A54,Data[Dist],0),MATCH(E$4,Data[#Headers],0)))</f>
        <v>427872</v>
      </c>
      <c r="F54" s="22">
        <f>IF(OR(Notes!$B$3="Pay 1 Regular State Payment Budget",Notes!$B$3="Pay 2 Regular State Payment Budget"),0,INDEX(Data[],MATCH($A54,Data[Dist],0),MATCH(F$4,Data[#Headers],0)))</f>
        <v>0</v>
      </c>
      <c r="G54" s="22">
        <f>INDEX(Data[],MATCH($A54,Data[Dist],0),MATCH(G$4,Data[#Headers],0))</f>
        <v>104607824</v>
      </c>
    </row>
    <row r="55" spans="1:7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9207577</v>
      </c>
      <c r="D55" s="22">
        <f>INDEX(Data[],MATCH($A55,Data[Dist],0),MATCH(D$4,Data[#Headers],0))</f>
        <v>1410</v>
      </c>
      <c r="E55" s="22">
        <f>IF(Notes!$B$3="Pay 1 Regular State Payment Budget",0,INDEX(Data[],MATCH($A55,Data[Dist],0),MATCH(E$4,Data[#Headers],0)))</f>
        <v>33879</v>
      </c>
      <c r="F55" s="22">
        <f>IF(OR(Notes!$B$3="Pay 1 Regular State Payment Budget",Notes!$B$3="Pay 2 Regular State Payment Budget"),0,INDEX(Data[],MATCH($A55,Data[Dist],0),MATCH(F$4,Data[#Headers],0)))</f>
        <v>0</v>
      </c>
      <c r="G55" s="22">
        <f>INDEX(Data[],MATCH($A55,Data[Dist],0),MATCH(G$4,Data[#Headers],0))</f>
        <v>9172288</v>
      </c>
    </row>
    <row r="56" spans="1:7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9783648</v>
      </c>
      <c r="D56" s="22">
        <f>INDEX(Data[],MATCH($A56,Data[Dist],0),MATCH(D$4,Data[#Headers],0))</f>
        <v>1310</v>
      </c>
      <c r="E56" s="22">
        <f>IF(Notes!$B$3="Pay 1 Regular State Payment Budget",0,INDEX(Data[],MATCH($A56,Data[Dist],0),MATCH(E$4,Data[#Headers],0)))</f>
        <v>34381</v>
      </c>
      <c r="F56" s="22">
        <f>IF(OR(Notes!$B$3="Pay 1 Regular State Payment Budget",Notes!$B$3="Pay 2 Regular State Payment Budget"),0,INDEX(Data[],MATCH($A56,Data[Dist],0),MATCH(F$4,Data[#Headers],0)))</f>
        <v>0</v>
      </c>
      <c r="G56" s="22">
        <f>INDEX(Data[],MATCH($A56,Data[Dist],0),MATCH(G$4,Data[#Headers],0))</f>
        <v>9747957</v>
      </c>
    </row>
    <row r="57" spans="1:7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4528582</v>
      </c>
      <c r="D57" s="22">
        <f>INDEX(Data[],MATCH($A57,Data[Dist],0),MATCH(D$4,Data[#Headers],0))</f>
        <v>779</v>
      </c>
      <c r="E57" s="22">
        <f>IF(Notes!$B$3="Pay 1 Regular State Payment Budget",0,INDEX(Data[],MATCH($A57,Data[Dist],0),MATCH(E$4,Data[#Headers],0)))</f>
        <v>19151</v>
      </c>
      <c r="F57" s="22">
        <f>IF(OR(Notes!$B$3="Pay 1 Regular State Payment Budget",Notes!$B$3="Pay 2 Regular State Payment Budget"),0,INDEX(Data[],MATCH($A57,Data[Dist],0),MATCH(F$4,Data[#Headers],0)))</f>
        <v>0</v>
      </c>
      <c r="G57" s="22">
        <f>INDEX(Data[],MATCH($A57,Data[Dist],0),MATCH(G$4,Data[#Headers],0))</f>
        <v>4508652</v>
      </c>
    </row>
    <row r="58" spans="1:7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2359540</v>
      </c>
      <c r="D58" s="22">
        <f>INDEX(Data[],MATCH($A58,Data[Dist],0),MATCH(D$4,Data[#Headers],0))</f>
        <v>547</v>
      </c>
      <c r="E58" s="22">
        <f>IF(Notes!$B$3="Pay 1 Regular State Payment Budget",0,INDEX(Data[],MATCH($A58,Data[Dist],0),MATCH(E$4,Data[#Headers],0)))</f>
        <v>10456</v>
      </c>
      <c r="F58" s="22">
        <f>IF(OR(Notes!$B$3="Pay 1 Regular State Payment Budget",Notes!$B$3="Pay 2 Regular State Payment Budget"),0,INDEX(Data[],MATCH($A58,Data[Dist],0),MATCH(F$4,Data[#Headers],0)))</f>
        <v>0</v>
      </c>
      <c r="G58" s="22">
        <f>INDEX(Data[],MATCH($A58,Data[Dist],0),MATCH(G$4,Data[#Headers],0))</f>
        <v>2348537</v>
      </c>
    </row>
    <row r="59" spans="1:7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8710078</v>
      </c>
      <c r="D59" s="22">
        <f>INDEX(Data[],MATCH($A59,Data[Dist],0),MATCH(D$4,Data[#Headers],0))</f>
        <v>1874</v>
      </c>
      <c r="E59" s="22">
        <f>IF(Notes!$B$3="Pay 1 Regular State Payment Budget",0,INDEX(Data[],MATCH($A59,Data[Dist],0),MATCH(E$4,Data[#Headers],0)))</f>
        <v>36537</v>
      </c>
      <c r="F59" s="22">
        <f>IF(OR(Notes!$B$3="Pay 1 Regular State Payment Budget",Notes!$B$3="Pay 2 Regular State Payment Budget"),0,INDEX(Data[],MATCH($A59,Data[Dist],0),MATCH(F$4,Data[#Headers],0)))</f>
        <v>0</v>
      </c>
      <c r="G59" s="22">
        <f>INDEX(Data[],MATCH($A59,Data[Dist],0),MATCH(G$4,Data[#Headers],0))</f>
        <v>8671667</v>
      </c>
    </row>
    <row r="60" spans="1:7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3084504</v>
      </c>
      <c r="D60" s="22">
        <f>INDEX(Data[],MATCH($A60,Data[Dist],0),MATCH(D$4,Data[#Headers],0))</f>
        <v>448</v>
      </c>
      <c r="E60" s="22">
        <f>IF(Notes!$B$3="Pay 1 Regular State Payment Budget",0,INDEX(Data[],MATCH($A60,Data[Dist],0),MATCH(E$4,Data[#Headers],0)))</f>
        <v>11830</v>
      </c>
      <c r="F60" s="22">
        <f>IF(OR(Notes!$B$3="Pay 1 Regular State Payment Budget",Notes!$B$3="Pay 2 Regular State Payment Budget"),0,INDEX(Data[],MATCH($A60,Data[Dist],0),MATCH(F$4,Data[#Headers],0)))</f>
        <v>0</v>
      </c>
      <c r="G60" s="22">
        <f>INDEX(Data[],MATCH($A60,Data[Dist],0),MATCH(G$4,Data[#Headers],0))</f>
        <v>3072226</v>
      </c>
    </row>
    <row r="61" spans="1:7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4408214</v>
      </c>
      <c r="D61" s="22">
        <f>INDEX(Data[],MATCH($A61,Data[Dist],0),MATCH(D$4,Data[#Headers],0))</f>
        <v>697</v>
      </c>
      <c r="E61" s="22">
        <f>IF(Notes!$B$3="Pay 1 Regular State Payment Budget",0,INDEX(Data[],MATCH($A61,Data[Dist],0),MATCH(E$4,Data[#Headers],0)))</f>
        <v>15404</v>
      </c>
      <c r="F61" s="22">
        <f>IF(OR(Notes!$B$3="Pay 1 Regular State Payment Budget",Notes!$B$3="Pay 2 Regular State Payment Budget"),0,INDEX(Data[],MATCH($A61,Data[Dist],0),MATCH(F$4,Data[#Headers],0)))</f>
        <v>0</v>
      </c>
      <c r="G61" s="22">
        <f>INDEX(Data[],MATCH($A61,Data[Dist],0),MATCH(G$4,Data[#Headers],0))</f>
        <v>4392113</v>
      </c>
    </row>
    <row r="62" spans="1:7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4311742</v>
      </c>
      <c r="D62" s="22">
        <f>INDEX(Data[],MATCH($A62,Data[Dist],0),MATCH(D$4,Data[#Headers],0))</f>
        <v>829</v>
      </c>
      <c r="E62" s="22">
        <f>IF(Notes!$B$3="Pay 1 Regular State Payment Budget",0,INDEX(Data[],MATCH($A62,Data[Dist],0),MATCH(E$4,Data[#Headers],0)))</f>
        <v>19014</v>
      </c>
      <c r="F62" s="22">
        <f>IF(OR(Notes!$B$3="Pay 1 Regular State Payment Budget",Notes!$B$3="Pay 2 Regular State Payment Budget"),0,INDEX(Data[],MATCH($A62,Data[Dist],0),MATCH(F$4,Data[#Headers],0)))</f>
        <v>0</v>
      </c>
      <c r="G62" s="22">
        <f>INDEX(Data[],MATCH($A62,Data[Dist],0),MATCH(G$4,Data[#Headers],0))</f>
        <v>4291899</v>
      </c>
    </row>
    <row r="63" spans="1:7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8119353</v>
      </c>
      <c r="D63" s="22">
        <f>INDEX(Data[],MATCH($A63,Data[Dist],0),MATCH(D$4,Data[#Headers],0))</f>
        <v>862</v>
      </c>
      <c r="E63" s="22">
        <f>IF(Notes!$B$3="Pay 1 Regular State Payment Budget",0,INDEX(Data[],MATCH($A63,Data[Dist],0),MATCH(E$4,Data[#Headers],0)))</f>
        <v>30986</v>
      </c>
      <c r="F63" s="22">
        <f>IF(OR(Notes!$B$3="Pay 1 Regular State Payment Budget",Notes!$B$3="Pay 2 Regular State Payment Budget"),0,INDEX(Data[],MATCH($A63,Data[Dist],0),MATCH(F$4,Data[#Headers],0)))</f>
        <v>0</v>
      </c>
      <c r="G63" s="22">
        <f>INDEX(Data[],MATCH($A63,Data[Dist],0),MATCH(G$4,Data[#Headers],0))</f>
        <v>8087505</v>
      </c>
    </row>
    <row r="64" spans="1:7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9145495</v>
      </c>
      <c r="D64" s="22">
        <f>INDEX(Data[],MATCH($A64,Data[Dist],0),MATCH(D$4,Data[#Headers],0))</f>
        <v>1161</v>
      </c>
      <c r="E64" s="22">
        <f>IF(Notes!$B$3="Pay 1 Regular State Payment Budget",0,INDEX(Data[],MATCH($A64,Data[Dist],0),MATCH(E$4,Data[#Headers],0)))</f>
        <v>37511</v>
      </c>
      <c r="F64" s="22">
        <f>IF(OR(Notes!$B$3="Pay 1 Regular State Payment Budget",Notes!$B$3="Pay 2 Regular State Payment Budget"),0,INDEX(Data[],MATCH($A64,Data[Dist],0),MATCH(F$4,Data[#Headers],0)))</f>
        <v>0</v>
      </c>
      <c r="G64" s="22">
        <f>INDEX(Data[],MATCH($A64,Data[Dist],0),MATCH(G$4,Data[#Headers],0))</f>
        <v>9106823</v>
      </c>
    </row>
    <row r="65" spans="1:7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1454835</v>
      </c>
      <c r="D65" s="22">
        <f>INDEX(Data[],MATCH($A65,Data[Dist],0),MATCH(D$4,Data[#Headers],0))</f>
        <v>232</v>
      </c>
      <c r="E65" s="22">
        <f>IF(Notes!$B$3="Pay 1 Regular State Payment Budget",0,INDEX(Data[],MATCH($A65,Data[Dist],0),MATCH(E$4,Data[#Headers],0)))</f>
        <v>6472</v>
      </c>
      <c r="F65" s="22">
        <f>IF(OR(Notes!$B$3="Pay 1 Regular State Payment Budget",Notes!$B$3="Pay 2 Regular State Payment Budget"),0,INDEX(Data[],MATCH($A65,Data[Dist],0),MATCH(F$4,Data[#Headers],0)))</f>
        <v>0</v>
      </c>
      <c r="G65" s="22">
        <f>INDEX(Data[],MATCH($A65,Data[Dist],0),MATCH(G$4,Data[#Headers],0))</f>
        <v>1448131</v>
      </c>
    </row>
    <row r="66" spans="1:7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6099649</v>
      </c>
      <c r="D66" s="22">
        <f>INDEX(Data[],MATCH($A66,Data[Dist],0),MATCH(D$4,Data[#Headers],0))</f>
        <v>730</v>
      </c>
      <c r="E66" s="22">
        <f>IF(Notes!$B$3="Pay 1 Regular State Payment Budget",0,INDEX(Data[],MATCH($A66,Data[Dist],0),MATCH(E$4,Data[#Headers],0)))</f>
        <v>24317</v>
      </c>
      <c r="F66" s="22">
        <f>IF(OR(Notes!$B$3="Pay 1 Regular State Payment Budget",Notes!$B$3="Pay 2 Regular State Payment Budget"),0,INDEX(Data[],MATCH($A66,Data[Dist],0),MATCH(F$4,Data[#Headers],0)))</f>
        <v>0</v>
      </c>
      <c r="G66" s="22">
        <f>INDEX(Data[],MATCH($A66,Data[Dist],0),MATCH(G$4,Data[#Headers],0))</f>
        <v>6074602</v>
      </c>
    </row>
    <row r="67" spans="1:7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5680984</v>
      </c>
      <c r="D67" s="22">
        <f>INDEX(Data[],MATCH($A67,Data[Dist],0),MATCH(D$4,Data[#Headers],0))</f>
        <v>448</v>
      </c>
      <c r="E67" s="22">
        <f>IF(Notes!$B$3="Pay 1 Regular State Payment Budget",0,INDEX(Data[],MATCH($A67,Data[Dist],0),MATCH(E$4,Data[#Headers],0)))</f>
        <v>24464</v>
      </c>
      <c r="F67" s="22">
        <f>IF(OR(Notes!$B$3="Pay 1 Regular State Payment Budget",Notes!$B$3="Pay 2 Regular State Payment Budget"),0,INDEX(Data[],MATCH($A67,Data[Dist],0),MATCH(F$4,Data[#Headers],0)))</f>
        <v>0</v>
      </c>
      <c r="G67" s="22">
        <f>INDEX(Data[],MATCH($A67,Data[Dist],0),MATCH(G$4,Data[#Headers],0))</f>
        <v>5656072</v>
      </c>
    </row>
    <row r="68" spans="1:7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4975156</v>
      </c>
      <c r="D68" s="22">
        <f>INDEX(Data[],MATCH($A68,Data[Dist],0),MATCH(D$4,Data[#Headers],0))</f>
        <v>862</v>
      </c>
      <c r="E68" s="22">
        <f>IF(Notes!$B$3="Pay 1 Regular State Payment Budget",0,INDEX(Data[],MATCH($A68,Data[Dist],0),MATCH(E$4,Data[#Headers],0)))</f>
        <v>23570</v>
      </c>
      <c r="F68" s="22">
        <f>IF(OR(Notes!$B$3="Pay 1 Regular State Payment Budget",Notes!$B$3="Pay 2 Regular State Payment Budget"),0,INDEX(Data[],MATCH($A68,Data[Dist],0),MATCH(F$4,Data[#Headers],0)))</f>
        <v>0</v>
      </c>
      <c r="G68" s="22">
        <f>INDEX(Data[],MATCH($A68,Data[Dist],0),MATCH(G$4,Data[#Headers],0))</f>
        <v>4950724</v>
      </c>
    </row>
    <row r="69" spans="1:7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10031164</v>
      </c>
      <c r="D69" s="22">
        <f>INDEX(Data[],MATCH($A69,Data[Dist],0),MATCH(D$4,Data[#Headers],0))</f>
        <v>879</v>
      </c>
      <c r="E69" s="22">
        <f>IF(Notes!$B$3="Pay 1 Regular State Payment Budget",0,INDEX(Data[],MATCH($A69,Data[Dist],0),MATCH(E$4,Data[#Headers],0)))</f>
        <v>36459</v>
      </c>
      <c r="F69" s="22">
        <f>IF(OR(Notes!$B$3="Pay 1 Regular State Payment Budget",Notes!$B$3="Pay 2 Regular State Payment Budget"),0,INDEX(Data[],MATCH($A69,Data[Dist],0),MATCH(F$4,Data[#Headers],0)))</f>
        <v>0</v>
      </c>
      <c r="G69" s="22">
        <f>INDEX(Data[],MATCH($A69,Data[Dist],0),MATCH(G$4,Data[#Headers],0))</f>
        <v>9993826</v>
      </c>
    </row>
    <row r="70" spans="1:7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2081331</v>
      </c>
      <c r="D70" s="22">
        <f>INDEX(Data[],MATCH($A70,Data[Dist],0),MATCH(D$4,Data[#Headers],0))</f>
        <v>265</v>
      </c>
      <c r="E70" s="22">
        <f>IF(Notes!$B$3="Pay 1 Regular State Payment Budget",0,INDEX(Data[],MATCH($A70,Data[Dist],0),MATCH(E$4,Data[#Headers],0)))</f>
        <v>7868</v>
      </c>
      <c r="F70" s="22">
        <f>IF(OR(Notes!$B$3="Pay 1 Regular State Payment Budget",Notes!$B$3="Pay 2 Regular State Payment Budget"),0,INDEX(Data[],MATCH($A70,Data[Dist],0),MATCH(F$4,Data[#Headers],0)))</f>
        <v>0</v>
      </c>
      <c r="G70" s="22">
        <f>INDEX(Data[],MATCH($A70,Data[Dist],0),MATCH(G$4,Data[#Headers],0))</f>
        <v>2073198</v>
      </c>
    </row>
    <row r="71" spans="1:7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1313326</v>
      </c>
      <c r="D71" s="22">
        <f>INDEX(Data[],MATCH($A71,Data[Dist],0),MATCH(D$4,Data[#Headers],0))</f>
        <v>182</v>
      </c>
      <c r="E71" s="22">
        <f>IF(Notes!$B$3="Pay 1 Regular State Payment Budget",0,INDEX(Data[],MATCH($A71,Data[Dist],0),MATCH(E$4,Data[#Headers],0)))</f>
        <v>8293</v>
      </c>
      <c r="F71" s="22">
        <f>IF(OR(Notes!$B$3="Pay 1 Regular State Payment Budget",Notes!$B$3="Pay 2 Regular State Payment Budget"),0,INDEX(Data[],MATCH($A71,Data[Dist],0),MATCH(F$4,Data[#Headers],0)))</f>
        <v>0</v>
      </c>
      <c r="G71" s="22">
        <f>INDEX(Data[],MATCH($A71,Data[Dist],0),MATCH(G$4,Data[#Headers],0))</f>
        <v>1304851</v>
      </c>
    </row>
    <row r="72" spans="1:7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11201317</v>
      </c>
      <c r="D72" s="22">
        <f>INDEX(Data[],MATCH($A72,Data[Dist],0),MATCH(D$4,Data[#Headers],0))</f>
        <v>2504</v>
      </c>
      <c r="E72" s="22">
        <f>IF(Notes!$B$3="Pay 1 Regular State Payment Budget",0,INDEX(Data[],MATCH($A72,Data[Dist],0),MATCH(E$4,Data[#Headers],0)))</f>
        <v>54746</v>
      </c>
      <c r="F72" s="22">
        <f>IF(OR(Notes!$B$3="Pay 1 Regular State Payment Budget",Notes!$B$3="Pay 2 Regular State Payment Budget"),0,INDEX(Data[],MATCH($A72,Data[Dist],0),MATCH(F$4,Data[#Headers],0)))</f>
        <v>0</v>
      </c>
      <c r="G72" s="22">
        <f>INDEX(Data[],MATCH($A72,Data[Dist],0),MATCH(G$4,Data[#Headers],0))</f>
        <v>11144067</v>
      </c>
    </row>
    <row r="73" spans="1:7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5486524</v>
      </c>
      <c r="D73" s="22">
        <f>INDEX(Data[],MATCH($A73,Data[Dist],0),MATCH(D$4,Data[#Headers],0))</f>
        <v>1294</v>
      </c>
      <c r="E73" s="22">
        <f>IF(Notes!$B$3="Pay 1 Regular State Payment Budget",0,INDEX(Data[],MATCH($A73,Data[Dist],0),MATCH(E$4,Data[#Headers],0)))</f>
        <v>30821</v>
      </c>
      <c r="F73" s="22">
        <f>IF(OR(Notes!$B$3="Pay 1 Regular State Payment Budget",Notes!$B$3="Pay 2 Regular State Payment Budget"),0,INDEX(Data[],MATCH($A73,Data[Dist],0),MATCH(F$4,Data[#Headers],0)))</f>
        <v>0</v>
      </c>
      <c r="G73" s="22">
        <f>INDEX(Data[],MATCH($A73,Data[Dist],0),MATCH(G$4,Data[#Headers],0))</f>
        <v>5454409</v>
      </c>
    </row>
    <row r="74" spans="1:7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26770759</v>
      </c>
      <c r="D74" s="22">
        <f>INDEX(Data[],MATCH($A74,Data[Dist],0),MATCH(D$4,Data[#Headers],0))</f>
        <v>3549</v>
      </c>
      <c r="E74" s="22">
        <f>IF(Notes!$B$3="Pay 1 Regular State Payment Budget",0,INDEX(Data[],MATCH($A74,Data[Dist],0),MATCH(E$4,Data[#Headers],0)))</f>
        <v>93006</v>
      </c>
      <c r="F74" s="22">
        <f>IF(OR(Notes!$B$3="Pay 1 Regular State Payment Budget",Notes!$B$3="Pay 2 Regular State Payment Budget"),0,INDEX(Data[],MATCH($A74,Data[Dist],0),MATCH(F$4,Data[#Headers],0)))</f>
        <v>0</v>
      </c>
      <c r="G74" s="22">
        <f>INDEX(Data[],MATCH($A74,Data[Dist],0),MATCH(G$4,Data[#Headers],0))</f>
        <v>26674204</v>
      </c>
    </row>
    <row r="75" spans="1:7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4851845</v>
      </c>
      <c r="D75" s="22">
        <f>INDEX(Data[],MATCH($A75,Data[Dist],0),MATCH(D$4,Data[#Headers],0))</f>
        <v>746</v>
      </c>
      <c r="E75" s="22">
        <f>IF(Notes!$B$3="Pay 1 Regular State Payment Budget",0,INDEX(Data[],MATCH($A75,Data[Dist],0),MATCH(E$4,Data[#Headers],0)))</f>
        <v>18394</v>
      </c>
      <c r="F75" s="22">
        <f>IF(OR(Notes!$B$3="Pay 1 Regular State Payment Budget",Notes!$B$3="Pay 2 Regular State Payment Budget"),0,INDEX(Data[],MATCH($A75,Data[Dist],0),MATCH(F$4,Data[#Headers],0)))</f>
        <v>0</v>
      </c>
      <c r="G75" s="22">
        <f>INDEX(Data[],MATCH($A75,Data[Dist],0),MATCH(G$4,Data[#Headers],0))</f>
        <v>4832705</v>
      </c>
    </row>
    <row r="76" spans="1:7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28528254</v>
      </c>
      <c r="D76" s="22">
        <f>INDEX(Data[],MATCH($A76,Data[Dist],0),MATCH(D$4,Data[#Headers],0))</f>
        <v>4627</v>
      </c>
      <c r="E76" s="22">
        <f>IF(Notes!$B$3="Pay 1 Regular State Payment Budget",0,INDEX(Data[],MATCH($A76,Data[Dist],0),MATCH(E$4,Data[#Headers],0)))</f>
        <v>128958</v>
      </c>
      <c r="F76" s="22">
        <f>IF(OR(Notes!$B$3="Pay 1 Regular State Payment Budget",Notes!$B$3="Pay 2 Regular State Payment Budget"),0,INDEX(Data[],MATCH($A76,Data[Dist],0),MATCH(F$4,Data[#Headers],0)))</f>
        <v>0</v>
      </c>
      <c r="G76" s="22">
        <f>INDEX(Data[],MATCH($A76,Data[Dist],0),MATCH(G$4,Data[#Headers],0))</f>
        <v>28394669</v>
      </c>
    </row>
    <row r="77" spans="1:7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2885681</v>
      </c>
      <c r="D77" s="22">
        <f>INDEX(Data[],MATCH($A77,Data[Dist],0),MATCH(D$4,Data[#Headers],0))</f>
        <v>348</v>
      </c>
      <c r="E77" s="22">
        <f>IF(Notes!$B$3="Pay 1 Regular State Payment Budget",0,INDEX(Data[],MATCH($A77,Data[Dist],0),MATCH(E$4,Data[#Headers],0)))</f>
        <v>11470</v>
      </c>
      <c r="F77" s="22">
        <f>IF(OR(Notes!$B$3="Pay 1 Regular State Payment Budget",Notes!$B$3="Pay 2 Regular State Payment Budget"),0,INDEX(Data[],MATCH($A77,Data[Dist],0),MATCH(F$4,Data[#Headers],0)))</f>
        <v>0</v>
      </c>
      <c r="G77" s="22">
        <f>INDEX(Data[],MATCH($A77,Data[Dist],0),MATCH(G$4,Data[#Headers],0))</f>
        <v>2873863</v>
      </c>
    </row>
    <row r="78" spans="1:7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2601749</v>
      </c>
      <c r="D78" s="22">
        <f>INDEX(Data[],MATCH($A78,Data[Dist],0),MATCH(D$4,Data[#Headers],0))</f>
        <v>365</v>
      </c>
      <c r="E78" s="22">
        <f>IF(Notes!$B$3="Pay 1 Regular State Payment Budget",0,INDEX(Data[],MATCH($A78,Data[Dist],0),MATCH(E$4,Data[#Headers],0)))</f>
        <v>12807</v>
      </c>
      <c r="F78" s="22">
        <f>IF(OR(Notes!$B$3="Pay 1 Regular State Payment Budget",Notes!$B$3="Pay 2 Regular State Payment Budget"),0,INDEX(Data[],MATCH($A78,Data[Dist],0),MATCH(F$4,Data[#Headers],0)))</f>
        <v>0</v>
      </c>
      <c r="G78" s="22">
        <f>INDEX(Data[],MATCH($A78,Data[Dist],0),MATCH(G$4,Data[#Headers],0))</f>
        <v>2588577</v>
      </c>
    </row>
    <row r="79" spans="1:7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5258190</v>
      </c>
      <c r="D79" s="22">
        <f>INDEX(Data[],MATCH($A79,Data[Dist],0),MATCH(D$4,Data[#Headers],0))</f>
        <v>514</v>
      </c>
      <c r="E79" s="22">
        <f>IF(Notes!$B$3="Pay 1 Regular State Payment Budget",0,INDEX(Data[],MATCH($A79,Data[Dist],0),MATCH(E$4,Data[#Headers],0)))</f>
        <v>19656</v>
      </c>
      <c r="F79" s="22">
        <f>IF(OR(Notes!$B$3="Pay 1 Regular State Payment Budget",Notes!$B$3="Pay 2 Regular State Payment Budget"),0,INDEX(Data[],MATCH($A79,Data[Dist],0),MATCH(F$4,Data[#Headers],0)))</f>
        <v>0</v>
      </c>
      <c r="G79" s="22">
        <f>INDEX(Data[],MATCH($A79,Data[Dist],0),MATCH(G$4,Data[#Headers],0))</f>
        <v>5238020</v>
      </c>
    </row>
    <row r="80" spans="1:7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2511756</v>
      </c>
      <c r="D80" s="22">
        <f>INDEX(Data[],MATCH($A80,Data[Dist],0),MATCH(D$4,Data[#Headers],0))</f>
        <v>464</v>
      </c>
      <c r="E80" s="22">
        <f>IF(Notes!$B$3="Pay 1 Regular State Payment Budget",0,INDEX(Data[],MATCH($A80,Data[Dist],0),MATCH(E$4,Data[#Headers],0)))</f>
        <v>10966</v>
      </c>
      <c r="F80" s="22">
        <f>IF(OR(Notes!$B$3="Pay 1 Regular State Payment Budget",Notes!$B$3="Pay 2 Regular State Payment Budget"),0,INDEX(Data[],MATCH($A80,Data[Dist],0),MATCH(F$4,Data[#Headers],0)))</f>
        <v>0</v>
      </c>
      <c r="G80" s="22">
        <f>INDEX(Data[],MATCH($A80,Data[Dist],0),MATCH(G$4,Data[#Headers],0))</f>
        <v>2500326</v>
      </c>
    </row>
    <row r="81" spans="1:7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2128935</v>
      </c>
      <c r="D81" s="22">
        <f>INDEX(Data[],MATCH($A81,Data[Dist],0),MATCH(D$4,Data[#Headers],0))</f>
        <v>614</v>
      </c>
      <c r="E81" s="22">
        <f>IF(Notes!$B$3="Pay 1 Regular State Payment Budget",0,INDEX(Data[],MATCH($A81,Data[Dist],0),MATCH(E$4,Data[#Headers],0)))</f>
        <v>9972</v>
      </c>
      <c r="F81" s="22">
        <f>IF(OR(Notes!$B$3="Pay 1 Regular State Payment Budget",Notes!$B$3="Pay 2 Regular State Payment Budget"),0,INDEX(Data[],MATCH($A81,Data[Dist],0),MATCH(F$4,Data[#Headers],0)))</f>
        <v>0</v>
      </c>
      <c r="G81" s="22">
        <f>INDEX(Data[],MATCH($A81,Data[Dist],0),MATCH(G$4,Data[#Headers],0))</f>
        <v>2118349</v>
      </c>
    </row>
    <row r="82" spans="1:7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67361983</v>
      </c>
      <c r="D82" s="22">
        <f>INDEX(Data[],MATCH($A82,Data[Dist],0),MATCH(D$4,Data[#Headers],0))</f>
        <v>6070</v>
      </c>
      <c r="E82" s="22">
        <f>IF(Notes!$B$3="Pay 1 Regular State Payment Budget",0,INDEX(Data[],MATCH($A82,Data[Dist],0),MATCH(E$4,Data[#Headers],0)))</f>
        <v>227927</v>
      </c>
      <c r="F82" s="22">
        <f>IF(OR(Notes!$B$3="Pay 1 Regular State Payment Budget",Notes!$B$3="Pay 2 Regular State Payment Budget"),0,INDEX(Data[],MATCH($A82,Data[Dist],0),MATCH(F$4,Data[#Headers],0)))</f>
        <v>0</v>
      </c>
      <c r="G82" s="22">
        <f>INDEX(Data[],MATCH($A82,Data[Dist],0),MATCH(G$4,Data[#Headers],0))</f>
        <v>67127986</v>
      </c>
    </row>
    <row r="83" spans="1:7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9217830</v>
      </c>
      <c r="D83" s="22">
        <f>INDEX(Data[],MATCH($A83,Data[Dist],0),MATCH(D$4,Data[#Headers],0))</f>
        <v>1426</v>
      </c>
      <c r="E83" s="22">
        <f>IF(Notes!$B$3="Pay 1 Regular State Payment Budget",0,INDEX(Data[],MATCH($A83,Data[Dist],0),MATCH(E$4,Data[#Headers],0)))</f>
        <v>36751</v>
      </c>
      <c r="F83" s="22">
        <f>IF(OR(Notes!$B$3="Pay 1 Regular State Payment Budget",Notes!$B$3="Pay 2 Regular State Payment Budget"),0,INDEX(Data[],MATCH($A83,Data[Dist],0),MATCH(F$4,Data[#Headers],0)))</f>
        <v>0</v>
      </c>
      <c r="G83" s="22">
        <f>INDEX(Data[],MATCH($A83,Data[Dist],0),MATCH(G$4,Data[#Headers],0))</f>
        <v>9179653</v>
      </c>
    </row>
    <row r="84" spans="1:7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16351833</v>
      </c>
      <c r="D84" s="22">
        <f>INDEX(Data[],MATCH($A84,Data[Dist],0),MATCH(D$4,Data[#Headers],0))</f>
        <v>3217</v>
      </c>
      <c r="E84" s="22">
        <f>IF(Notes!$B$3="Pay 1 Regular State Payment Budget",0,INDEX(Data[],MATCH($A84,Data[Dist],0),MATCH(E$4,Data[#Headers],0)))</f>
        <v>70463</v>
      </c>
      <c r="F84" s="22">
        <f>IF(OR(Notes!$B$3="Pay 1 Regular State Payment Budget",Notes!$B$3="Pay 2 Regular State Payment Budget"),0,INDEX(Data[],MATCH($A84,Data[Dist],0),MATCH(F$4,Data[#Headers],0)))</f>
        <v>0</v>
      </c>
      <c r="G84" s="22">
        <f>INDEX(Data[],MATCH($A84,Data[Dist],0),MATCH(G$4,Data[#Headers],0))</f>
        <v>16278153</v>
      </c>
    </row>
    <row r="85" spans="1:7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3247760</v>
      </c>
      <c r="D85" s="22">
        <f>INDEX(Data[],MATCH($A85,Data[Dist],0),MATCH(D$4,Data[#Headers],0))</f>
        <v>647</v>
      </c>
      <c r="E85" s="22">
        <f>IF(Notes!$B$3="Pay 1 Regular State Payment Budget",0,INDEX(Data[],MATCH($A85,Data[Dist],0),MATCH(E$4,Data[#Headers],0)))</f>
        <v>12827</v>
      </c>
      <c r="F85" s="22">
        <f>IF(OR(Notes!$B$3="Pay 1 Regular State Payment Budget",Notes!$B$3="Pay 2 Regular State Payment Budget"),0,INDEX(Data[],MATCH($A85,Data[Dist],0),MATCH(F$4,Data[#Headers],0)))</f>
        <v>0</v>
      </c>
      <c r="G85" s="22">
        <f>INDEX(Data[],MATCH($A85,Data[Dist],0),MATCH(G$4,Data[#Headers],0))</f>
        <v>3234286</v>
      </c>
    </row>
    <row r="86" spans="1:7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105790621</v>
      </c>
      <c r="D86" s="22">
        <f>INDEX(Data[],MATCH($A86,Data[Dist],0),MATCH(D$4,Data[#Headers],0))</f>
        <v>14412</v>
      </c>
      <c r="E86" s="22">
        <f>IF(Notes!$B$3="Pay 1 Regular State Payment Budget",0,INDEX(Data[],MATCH($A86,Data[Dist],0),MATCH(E$4,Data[#Headers],0)))</f>
        <v>380515</v>
      </c>
      <c r="F86" s="22">
        <f>IF(OR(Notes!$B$3="Pay 1 Regular State Payment Budget",Notes!$B$3="Pay 2 Regular State Payment Budget"),0,INDEX(Data[],MATCH($A86,Data[Dist],0),MATCH(F$4,Data[#Headers],0)))</f>
        <v>0</v>
      </c>
      <c r="G86" s="22">
        <f>INDEX(Data[],MATCH($A86,Data[Dist],0),MATCH(G$4,Data[#Headers],0))</f>
        <v>105395694</v>
      </c>
    </row>
    <row r="87" spans="1:7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6944576</v>
      </c>
      <c r="D87" s="22">
        <f>INDEX(Data[],MATCH($A87,Data[Dist],0),MATCH(D$4,Data[#Headers],0))</f>
        <v>1061</v>
      </c>
      <c r="E87" s="22">
        <f>IF(Notes!$B$3="Pay 1 Regular State Payment Budget",0,INDEX(Data[],MATCH($A87,Data[Dist],0),MATCH(E$4,Data[#Headers],0)))</f>
        <v>28416</v>
      </c>
      <c r="F87" s="22">
        <f>IF(OR(Notes!$B$3="Pay 1 Regular State Payment Budget",Notes!$B$3="Pay 2 Regular State Payment Budget"),0,INDEX(Data[],MATCH($A87,Data[Dist],0),MATCH(F$4,Data[#Headers],0)))</f>
        <v>0</v>
      </c>
      <c r="G87" s="22">
        <f>INDEX(Data[],MATCH($A87,Data[Dist],0),MATCH(G$4,Data[#Headers],0))</f>
        <v>6915099</v>
      </c>
    </row>
    <row r="88" spans="1:7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7001233</v>
      </c>
      <c r="D88" s="22">
        <f>INDEX(Data[],MATCH($A88,Data[Dist],0),MATCH(D$4,Data[#Headers],0))</f>
        <v>1476</v>
      </c>
      <c r="E88" s="22">
        <f>IF(Notes!$B$3="Pay 1 Regular State Payment Budget",0,INDEX(Data[],MATCH($A88,Data[Dist],0),MATCH(E$4,Data[#Headers],0)))</f>
        <v>34149</v>
      </c>
      <c r="F88" s="22">
        <f>IF(OR(Notes!$B$3="Pay 1 Regular State Payment Budget",Notes!$B$3="Pay 2 Regular State Payment Budget"),0,INDEX(Data[],MATCH($A88,Data[Dist],0),MATCH(F$4,Data[#Headers],0)))</f>
        <v>0</v>
      </c>
      <c r="G88" s="22">
        <f>INDEX(Data[],MATCH($A88,Data[Dist],0),MATCH(G$4,Data[#Headers],0))</f>
        <v>6965608</v>
      </c>
    </row>
    <row r="89" spans="1:7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1078031</v>
      </c>
      <c r="D89" s="22">
        <f>INDEX(Data[],MATCH($A89,Data[Dist],0),MATCH(D$4,Data[#Headers],0))</f>
        <v>332</v>
      </c>
      <c r="E89" s="22">
        <f>IF(Notes!$B$3="Pay 1 Regular State Payment Budget",0,INDEX(Data[],MATCH($A89,Data[Dist],0),MATCH(E$4,Data[#Headers],0)))</f>
        <v>4933</v>
      </c>
      <c r="F89" s="22">
        <f>IF(OR(Notes!$B$3="Pay 1 Regular State Payment Budget",Notes!$B$3="Pay 2 Regular State Payment Budget"),0,INDEX(Data[],MATCH($A89,Data[Dist],0),MATCH(F$4,Data[#Headers],0)))</f>
        <v>0</v>
      </c>
      <c r="G89" s="22">
        <f>INDEX(Data[],MATCH($A89,Data[Dist],0),MATCH(G$4,Data[#Headers],0))</f>
        <v>1072766</v>
      </c>
    </row>
    <row r="90" spans="1:7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15850803</v>
      </c>
      <c r="D90" s="22">
        <f>INDEX(Data[],MATCH($A90,Data[Dist],0),MATCH(D$4,Data[#Headers],0))</f>
        <v>2007</v>
      </c>
      <c r="E90" s="22">
        <f>IF(Notes!$B$3="Pay 1 Regular State Payment Budget",0,INDEX(Data[],MATCH($A90,Data[Dist],0),MATCH(E$4,Data[#Headers],0)))</f>
        <v>52481</v>
      </c>
      <c r="F90" s="22">
        <f>IF(OR(Notes!$B$3="Pay 1 Regular State Payment Budget",Notes!$B$3="Pay 2 Regular State Payment Budget"),0,INDEX(Data[],MATCH($A90,Data[Dist],0),MATCH(F$4,Data[#Headers],0)))</f>
        <v>183366</v>
      </c>
      <c r="G90" s="22">
        <f>INDEX(Data[],MATCH($A90,Data[Dist],0),MATCH(G$4,Data[#Headers],0))</f>
        <v>15612949</v>
      </c>
    </row>
    <row r="91" spans="1:7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4591399</v>
      </c>
      <c r="D91" s="22">
        <f>INDEX(Data[],MATCH($A91,Data[Dist],0),MATCH(D$4,Data[#Headers],0))</f>
        <v>979</v>
      </c>
      <c r="E91" s="22">
        <f>IF(Notes!$B$3="Pay 1 Regular State Payment Budget",0,INDEX(Data[],MATCH($A91,Data[Dist],0),MATCH(E$4,Data[#Headers],0)))</f>
        <v>18734</v>
      </c>
      <c r="F91" s="22">
        <f>IF(OR(Notes!$B$3="Pay 1 Regular State Payment Budget",Notes!$B$3="Pay 2 Regular State Payment Budget"),0,INDEX(Data[],MATCH($A91,Data[Dist],0),MATCH(F$4,Data[#Headers],0)))</f>
        <v>88312</v>
      </c>
      <c r="G91" s="22">
        <f>INDEX(Data[],MATCH($A91,Data[Dist],0),MATCH(G$4,Data[#Headers],0))</f>
        <v>4483374</v>
      </c>
    </row>
    <row r="92" spans="1:7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246399772</v>
      </c>
      <c r="D92" s="22">
        <f>INDEX(Data[],MATCH($A92,Data[Dist],0),MATCH(D$4,Data[#Headers],0))</f>
        <v>25640</v>
      </c>
      <c r="E92" s="22">
        <f>IF(Notes!$B$3="Pay 1 Regular State Payment Budget",0,INDEX(Data[],MATCH($A92,Data[Dist],0),MATCH(E$4,Data[#Headers],0)))</f>
        <v>825735</v>
      </c>
      <c r="F92" s="22">
        <f>IF(OR(Notes!$B$3="Pay 1 Regular State Payment Budget",Notes!$B$3="Pay 2 Regular State Payment Budget"),0,INDEX(Data[],MATCH($A92,Data[Dist],0),MATCH(F$4,Data[#Headers],0)))</f>
        <v>0</v>
      </c>
      <c r="G92" s="22">
        <f>INDEX(Data[],MATCH($A92,Data[Dist],0),MATCH(G$4,Data[#Headers],0))</f>
        <v>245548397</v>
      </c>
    </row>
    <row r="93" spans="1:7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707769</v>
      </c>
      <c r="D93" s="22">
        <f>INDEX(Data[],MATCH($A93,Data[Dist],0),MATCH(D$4,Data[#Headers],0))</f>
        <v>166</v>
      </c>
      <c r="E93" s="22">
        <f>IF(Notes!$B$3="Pay 1 Regular State Payment Budget",0,INDEX(Data[],MATCH($A93,Data[Dist],0),MATCH(E$4,Data[#Headers],0)))</f>
        <v>2473</v>
      </c>
      <c r="F93" s="22">
        <f>IF(OR(Notes!$B$3="Pay 1 Regular State Payment Budget",Notes!$B$3="Pay 2 Regular State Payment Budget"),0,INDEX(Data[],MATCH($A93,Data[Dist],0),MATCH(F$4,Data[#Headers],0)))</f>
        <v>0</v>
      </c>
      <c r="G93" s="22">
        <f>INDEX(Data[],MATCH($A93,Data[Dist],0),MATCH(G$4,Data[#Headers],0))</f>
        <v>705130</v>
      </c>
    </row>
    <row r="94" spans="1:7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5535056</v>
      </c>
      <c r="D94" s="22">
        <f>INDEX(Data[],MATCH($A94,Data[Dist],0),MATCH(D$4,Data[#Headers],0))</f>
        <v>597</v>
      </c>
      <c r="E94" s="22">
        <f>IF(Notes!$B$3="Pay 1 Regular State Payment Budget",0,INDEX(Data[],MATCH($A94,Data[Dist],0),MATCH(E$4,Data[#Headers],0)))</f>
        <v>22036</v>
      </c>
      <c r="F94" s="22">
        <f>IF(OR(Notes!$B$3="Pay 1 Regular State Payment Budget",Notes!$B$3="Pay 2 Regular State Payment Budget"),0,INDEX(Data[],MATCH($A94,Data[Dist],0),MATCH(F$4,Data[#Headers],0)))</f>
        <v>0</v>
      </c>
      <c r="G94" s="22">
        <f>INDEX(Data[],MATCH($A94,Data[Dist],0),MATCH(G$4,Data[#Headers],0))</f>
        <v>5512423</v>
      </c>
    </row>
    <row r="95" spans="1:7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66086235</v>
      </c>
      <c r="D95" s="22">
        <f>INDEX(Data[],MATCH($A95,Data[Dist],0),MATCH(D$4,Data[#Headers],0))</f>
        <v>11593</v>
      </c>
      <c r="E95" s="22">
        <f>IF(Notes!$B$3="Pay 1 Regular State Payment Budget",0,INDEX(Data[],MATCH($A95,Data[Dist],0),MATCH(E$4,Data[#Headers],0)))</f>
        <v>262448</v>
      </c>
      <c r="F95" s="22">
        <f>IF(OR(Notes!$B$3="Pay 1 Regular State Payment Budget",Notes!$B$3="Pay 2 Regular State Payment Budget"),0,INDEX(Data[],MATCH($A95,Data[Dist],0),MATCH(F$4,Data[#Headers],0)))</f>
        <v>0</v>
      </c>
      <c r="G95" s="22">
        <f>INDEX(Data[],MATCH($A95,Data[Dist],0),MATCH(G$4,Data[#Headers],0))</f>
        <v>65812194</v>
      </c>
    </row>
    <row r="96" spans="1:7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2449590</v>
      </c>
      <c r="D96" s="22">
        <f>INDEX(Data[],MATCH($A96,Data[Dist],0),MATCH(D$4,Data[#Headers],0))</f>
        <v>365</v>
      </c>
      <c r="E96" s="22">
        <f>IF(Notes!$B$3="Pay 1 Regular State Payment Budget",0,INDEX(Data[],MATCH($A96,Data[Dist],0),MATCH(E$4,Data[#Headers],0)))</f>
        <v>10474</v>
      </c>
      <c r="F96" s="22">
        <f>IF(OR(Notes!$B$3="Pay 1 Regular State Payment Budget",Notes!$B$3="Pay 2 Regular State Payment Budget"),0,INDEX(Data[],MATCH($A96,Data[Dist],0),MATCH(F$4,Data[#Headers],0)))</f>
        <v>0</v>
      </c>
      <c r="G96" s="22">
        <f>INDEX(Data[],MATCH($A96,Data[Dist],0),MATCH(G$4,Data[#Headers],0))</f>
        <v>2438751</v>
      </c>
    </row>
    <row r="97" spans="1:7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2280410</v>
      </c>
      <c r="D97" s="22">
        <f>INDEX(Data[],MATCH($A97,Data[Dist],0),MATCH(D$4,Data[#Headers],0))</f>
        <v>398</v>
      </c>
      <c r="E97" s="22">
        <f>IF(Notes!$B$3="Pay 1 Regular State Payment Budget",0,INDEX(Data[],MATCH($A97,Data[Dist],0),MATCH(E$4,Data[#Headers],0)))</f>
        <v>10156</v>
      </c>
      <c r="F97" s="22">
        <f>IF(OR(Notes!$B$3="Pay 1 Regular State Payment Budget",Notes!$B$3="Pay 2 Regular State Payment Budget"),0,INDEX(Data[],MATCH($A97,Data[Dist],0),MATCH(F$4,Data[#Headers],0)))</f>
        <v>0</v>
      </c>
      <c r="G97" s="22">
        <f>INDEX(Data[],MATCH($A97,Data[Dist],0),MATCH(G$4,Data[#Headers],0))</f>
        <v>2269856</v>
      </c>
    </row>
    <row r="98" spans="1:7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3173854</v>
      </c>
      <c r="D98" s="22">
        <f>INDEX(Data[],MATCH($A98,Data[Dist],0),MATCH(D$4,Data[#Headers],0))</f>
        <v>398</v>
      </c>
      <c r="E98" s="22">
        <f>IF(Notes!$B$3="Pay 1 Regular State Payment Budget",0,INDEX(Data[],MATCH($A98,Data[Dist],0),MATCH(E$4,Data[#Headers],0)))</f>
        <v>14066</v>
      </c>
      <c r="F98" s="22">
        <f>IF(OR(Notes!$B$3="Pay 1 Regular State Payment Budget",Notes!$B$3="Pay 2 Regular State Payment Budget"),0,INDEX(Data[],MATCH($A98,Data[Dist],0),MATCH(F$4,Data[#Headers],0)))</f>
        <v>0</v>
      </c>
      <c r="G98" s="22">
        <f>INDEX(Data[],MATCH($A98,Data[Dist],0),MATCH(G$4,Data[#Headers],0))</f>
        <v>3159390</v>
      </c>
    </row>
    <row r="99" spans="1:7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6185668</v>
      </c>
      <c r="D99" s="22">
        <f>INDEX(Data[],MATCH($A99,Data[Dist],0),MATCH(D$4,Data[#Headers],0))</f>
        <v>813</v>
      </c>
      <c r="E99" s="22">
        <f>IF(Notes!$B$3="Pay 1 Regular State Payment Budget",0,INDEX(Data[],MATCH($A99,Data[Dist],0),MATCH(E$4,Data[#Headers],0)))</f>
        <v>26318</v>
      </c>
      <c r="F99" s="22">
        <f>IF(OR(Notes!$B$3="Pay 1 Regular State Payment Budget",Notes!$B$3="Pay 2 Regular State Payment Budget"),0,INDEX(Data[],MATCH($A99,Data[Dist],0),MATCH(F$4,Data[#Headers],0)))</f>
        <v>0</v>
      </c>
      <c r="G99" s="22">
        <f>INDEX(Data[],MATCH($A99,Data[Dist],0),MATCH(G$4,Data[#Headers],0))</f>
        <v>6158537</v>
      </c>
    </row>
    <row r="100" spans="1:7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5662737</v>
      </c>
      <c r="D100" s="22">
        <f>INDEX(Data[],MATCH($A100,Data[Dist],0),MATCH(D$4,Data[#Headers],0))</f>
        <v>945</v>
      </c>
      <c r="E100" s="22">
        <f>IF(Notes!$B$3="Pay 1 Regular State Payment Budget",0,INDEX(Data[],MATCH($A100,Data[Dist],0),MATCH(E$4,Data[#Headers],0)))</f>
        <v>21172</v>
      </c>
      <c r="F100" s="22">
        <f>IF(OR(Notes!$B$3="Pay 1 Regular State Payment Budget",Notes!$B$3="Pay 2 Regular State Payment Budget"),0,INDEX(Data[],MATCH($A100,Data[Dist],0),MATCH(F$4,Data[#Headers],0)))</f>
        <v>0</v>
      </c>
      <c r="G100" s="22">
        <f>INDEX(Data[],MATCH($A100,Data[Dist],0),MATCH(G$4,Data[#Headers],0))</f>
        <v>5640620</v>
      </c>
    </row>
    <row r="101" spans="1:7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3398068</v>
      </c>
      <c r="D101" s="22">
        <f>INDEX(Data[],MATCH($A101,Data[Dist],0),MATCH(D$4,Data[#Headers],0))</f>
        <v>614</v>
      </c>
      <c r="E101" s="22">
        <f>IF(Notes!$B$3="Pay 1 Regular State Payment Budget",0,INDEX(Data[],MATCH($A101,Data[Dist],0),MATCH(E$4,Data[#Headers],0)))</f>
        <v>14365</v>
      </c>
      <c r="F101" s="22">
        <f>IF(OR(Notes!$B$3="Pay 1 Regular State Payment Budget",Notes!$B$3="Pay 2 Regular State Payment Budget"),0,INDEX(Data[],MATCH($A101,Data[Dist],0),MATCH(F$4,Data[#Headers],0)))</f>
        <v>0</v>
      </c>
      <c r="G101" s="22">
        <f>INDEX(Data[],MATCH($A101,Data[Dist],0),MATCH(G$4,Data[#Headers],0))</f>
        <v>3383089</v>
      </c>
    </row>
    <row r="102" spans="1:7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3554613</v>
      </c>
      <c r="D102" s="22">
        <f>INDEX(Data[],MATCH($A102,Data[Dist],0),MATCH(D$4,Data[#Headers],0))</f>
        <v>564</v>
      </c>
      <c r="E102" s="22">
        <f>IF(Notes!$B$3="Pay 1 Regular State Payment Budget",0,INDEX(Data[],MATCH($A102,Data[Dist],0),MATCH(E$4,Data[#Headers],0)))</f>
        <v>14185</v>
      </c>
      <c r="F102" s="22">
        <f>IF(OR(Notes!$B$3="Pay 1 Regular State Payment Budget",Notes!$B$3="Pay 2 Regular State Payment Budget"),0,INDEX(Data[],MATCH($A102,Data[Dist],0),MATCH(F$4,Data[#Headers],0)))</f>
        <v>0</v>
      </c>
      <c r="G102" s="22">
        <f>INDEX(Data[],MATCH($A102,Data[Dist],0),MATCH(G$4,Data[#Headers],0))</f>
        <v>3539864</v>
      </c>
    </row>
    <row r="103" spans="1:7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3597737</v>
      </c>
      <c r="D103" s="22">
        <f>INDEX(Data[],MATCH($A103,Data[Dist],0),MATCH(D$4,Data[#Headers],0))</f>
        <v>315</v>
      </c>
      <c r="E103" s="22">
        <f>IF(Notes!$B$3="Pay 1 Regular State Payment Budget",0,INDEX(Data[],MATCH($A103,Data[Dist],0),MATCH(E$4,Data[#Headers],0)))</f>
        <v>15070</v>
      </c>
      <c r="F103" s="22">
        <f>IF(OR(Notes!$B$3="Pay 1 Regular State Payment Budget",Notes!$B$3="Pay 2 Regular State Payment Budget"),0,INDEX(Data[],MATCH($A103,Data[Dist],0),MATCH(F$4,Data[#Headers],0)))</f>
        <v>0</v>
      </c>
      <c r="G103" s="22">
        <f>INDEX(Data[],MATCH($A103,Data[Dist],0),MATCH(G$4,Data[#Headers],0))</f>
        <v>3582352</v>
      </c>
    </row>
    <row r="104" spans="1:7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3127428</v>
      </c>
      <c r="D104" s="22">
        <f>INDEX(Data[],MATCH($A104,Data[Dist],0),MATCH(D$4,Data[#Headers],0))</f>
        <v>531</v>
      </c>
      <c r="E104" s="22">
        <f>IF(Notes!$B$3="Pay 1 Regular State Payment Budget",0,INDEX(Data[],MATCH($A104,Data[Dist],0),MATCH(E$4,Data[#Headers],0)))</f>
        <v>12280</v>
      </c>
      <c r="F104" s="22">
        <f>IF(OR(Notes!$B$3="Pay 1 Regular State Payment Budget",Notes!$B$3="Pay 2 Regular State Payment Budget"),0,INDEX(Data[],MATCH($A104,Data[Dist],0),MATCH(F$4,Data[#Headers],0)))</f>
        <v>0</v>
      </c>
      <c r="G104" s="22">
        <f>INDEX(Data[],MATCH($A104,Data[Dist],0),MATCH(G$4,Data[#Headers],0))</f>
        <v>3114617</v>
      </c>
    </row>
    <row r="105" spans="1:7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1466472</v>
      </c>
      <c r="D105" s="22">
        <f>INDEX(Data[],MATCH($A105,Data[Dist],0),MATCH(D$4,Data[#Headers],0))</f>
        <v>365</v>
      </c>
      <c r="E105" s="22">
        <f>IF(Notes!$B$3="Pay 1 Regular State Payment Budget",0,INDEX(Data[],MATCH($A105,Data[Dist],0),MATCH(E$4,Data[#Headers],0)))</f>
        <v>8121</v>
      </c>
      <c r="F105" s="22">
        <f>IF(OR(Notes!$B$3="Pay 1 Regular State Payment Budget",Notes!$B$3="Pay 2 Regular State Payment Budget"),0,INDEX(Data[],MATCH($A105,Data[Dist],0),MATCH(F$4,Data[#Headers],0)))</f>
        <v>0</v>
      </c>
      <c r="G105" s="22">
        <f>INDEX(Data[],MATCH($A105,Data[Dist],0),MATCH(G$4,Data[#Headers],0))</f>
        <v>1457986</v>
      </c>
    </row>
    <row r="106" spans="1:7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2183785</v>
      </c>
      <c r="D106" s="22">
        <f>INDEX(Data[],MATCH($A106,Data[Dist],0),MATCH(D$4,Data[#Headers],0))</f>
        <v>381</v>
      </c>
      <c r="E106" s="22">
        <f>IF(Notes!$B$3="Pay 1 Regular State Payment Budget",0,INDEX(Data[],MATCH($A106,Data[Dist],0),MATCH(E$4,Data[#Headers],0)))</f>
        <v>10556</v>
      </c>
      <c r="F106" s="22">
        <f>IF(OR(Notes!$B$3="Pay 1 Regular State Payment Budget",Notes!$B$3="Pay 2 Regular State Payment Budget"),0,INDEX(Data[],MATCH($A106,Data[Dist],0),MATCH(F$4,Data[#Headers],0)))</f>
        <v>0</v>
      </c>
      <c r="G106" s="22">
        <f>INDEX(Data[],MATCH($A106,Data[Dist],0),MATCH(G$4,Data[#Headers],0))</f>
        <v>2172848</v>
      </c>
    </row>
    <row r="107" spans="1:7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2381915</v>
      </c>
      <c r="D107" s="22">
        <f>INDEX(Data[],MATCH($A107,Data[Dist],0),MATCH(D$4,Data[#Headers],0))</f>
        <v>531</v>
      </c>
      <c r="E107" s="22">
        <f>IF(Notes!$B$3="Pay 1 Regular State Payment Budget",0,INDEX(Data[],MATCH($A107,Data[Dist],0),MATCH(E$4,Data[#Headers],0)))</f>
        <v>10341</v>
      </c>
      <c r="F107" s="22">
        <f>IF(OR(Notes!$B$3="Pay 1 Regular State Payment Budget",Notes!$B$3="Pay 2 Regular State Payment Budget"),0,INDEX(Data[],MATCH($A107,Data[Dist],0),MATCH(F$4,Data[#Headers],0)))</f>
        <v>0</v>
      </c>
      <c r="G107" s="22">
        <f>INDEX(Data[],MATCH($A107,Data[Dist],0),MATCH(G$4,Data[#Headers],0))</f>
        <v>2371043</v>
      </c>
    </row>
    <row r="108" spans="1:7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4213327</v>
      </c>
      <c r="D108" s="22">
        <f>INDEX(Data[],MATCH($A108,Data[Dist],0),MATCH(D$4,Data[#Headers],0))</f>
        <v>614</v>
      </c>
      <c r="E108" s="22">
        <f>IF(Notes!$B$3="Pay 1 Regular State Payment Budget",0,INDEX(Data[],MATCH($A108,Data[Dist],0),MATCH(E$4,Data[#Headers],0)))</f>
        <v>15602</v>
      </c>
      <c r="F108" s="22">
        <f>IF(OR(Notes!$B$3="Pay 1 Regular State Payment Budget",Notes!$B$3="Pay 2 Regular State Payment Budget"),0,INDEX(Data[],MATCH($A108,Data[Dist],0),MATCH(F$4,Data[#Headers],0)))</f>
        <v>0</v>
      </c>
      <c r="G108" s="22">
        <f>INDEX(Data[],MATCH($A108,Data[Dist],0),MATCH(G$4,Data[#Headers],0))</f>
        <v>4197111</v>
      </c>
    </row>
    <row r="109" spans="1:7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3598906</v>
      </c>
      <c r="D109" s="22">
        <f>INDEX(Data[],MATCH($A109,Data[Dist],0),MATCH(D$4,Data[#Headers],0))</f>
        <v>862</v>
      </c>
      <c r="E109" s="22">
        <f>IF(Notes!$B$3="Pay 1 Regular State Payment Budget",0,INDEX(Data[],MATCH($A109,Data[Dist],0),MATCH(E$4,Data[#Headers],0)))</f>
        <v>17465</v>
      </c>
      <c r="F109" s="22">
        <f>IF(OR(Notes!$B$3="Pay 1 Regular State Payment Budget",Notes!$B$3="Pay 2 Regular State Payment Budget"),0,INDEX(Data[],MATCH($A109,Data[Dist],0),MATCH(F$4,Data[#Headers],0)))</f>
        <v>0</v>
      </c>
      <c r="G109" s="22">
        <f>INDEX(Data[],MATCH($A109,Data[Dist],0),MATCH(G$4,Data[#Headers],0))</f>
        <v>3580579</v>
      </c>
    </row>
    <row r="110" spans="1:7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2606953</v>
      </c>
      <c r="D110" s="22">
        <f>INDEX(Data[],MATCH($A110,Data[Dist],0),MATCH(D$4,Data[#Headers],0))</f>
        <v>514</v>
      </c>
      <c r="E110" s="22">
        <f>IF(Notes!$B$3="Pay 1 Regular State Payment Budget",0,INDEX(Data[],MATCH($A110,Data[Dist],0),MATCH(E$4,Data[#Headers],0)))</f>
        <v>11295</v>
      </c>
      <c r="F110" s="22">
        <f>IF(OR(Notes!$B$3="Pay 1 Regular State Payment Budget",Notes!$B$3="Pay 2 Regular State Payment Budget"),0,INDEX(Data[],MATCH($A110,Data[Dist],0),MATCH(F$4,Data[#Headers],0)))</f>
        <v>0</v>
      </c>
      <c r="G110" s="22">
        <f>INDEX(Data[],MATCH($A110,Data[Dist],0),MATCH(G$4,Data[#Headers],0))</f>
        <v>2595144</v>
      </c>
    </row>
    <row r="111" spans="1:7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1158272</v>
      </c>
      <c r="D111" s="22">
        <f>INDEX(Data[],MATCH($A111,Data[Dist],0),MATCH(D$4,Data[#Headers],0))</f>
        <v>199</v>
      </c>
      <c r="E111" s="22">
        <f>IF(Notes!$B$3="Pay 1 Regular State Payment Budget",0,INDEX(Data[],MATCH($A111,Data[Dist],0),MATCH(E$4,Data[#Headers],0)))</f>
        <v>4846</v>
      </c>
      <c r="F111" s="22">
        <f>IF(OR(Notes!$B$3="Pay 1 Regular State Payment Budget",Notes!$B$3="Pay 2 Regular State Payment Budget"),0,INDEX(Data[],MATCH($A111,Data[Dist],0),MATCH(F$4,Data[#Headers],0)))</f>
        <v>0</v>
      </c>
      <c r="G111" s="22">
        <f>INDEX(Data[],MATCH($A111,Data[Dist],0),MATCH(G$4,Data[#Headers],0))</f>
        <v>1153227</v>
      </c>
    </row>
    <row r="112" spans="1:7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8352794</v>
      </c>
      <c r="D112" s="22">
        <f>INDEX(Data[],MATCH($A112,Data[Dist],0),MATCH(D$4,Data[#Headers],0))</f>
        <v>1045</v>
      </c>
      <c r="E112" s="22">
        <f>IF(Notes!$B$3="Pay 1 Regular State Payment Budget",0,INDEX(Data[],MATCH($A112,Data[Dist],0),MATCH(E$4,Data[#Headers],0)))</f>
        <v>33059</v>
      </c>
      <c r="F112" s="22">
        <f>IF(OR(Notes!$B$3="Pay 1 Regular State Payment Budget",Notes!$B$3="Pay 2 Regular State Payment Budget"),0,INDEX(Data[],MATCH($A112,Data[Dist],0),MATCH(F$4,Data[#Headers],0)))</f>
        <v>0</v>
      </c>
      <c r="G112" s="22">
        <f>INDEX(Data[],MATCH($A112,Data[Dist],0),MATCH(G$4,Data[#Headers],0))</f>
        <v>8318690</v>
      </c>
    </row>
    <row r="113" spans="1:7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2327137</v>
      </c>
      <c r="D113" s="22">
        <f>INDEX(Data[],MATCH($A113,Data[Dist],0),MATCH(D$4,Data[#Headers],0))</f>
        <v>381</v>
      </c>
      <c r="E113" s="22">
        <f>IF(Notes!$B$3="Pay 1 Regular State Payment Budget",0,INDEX(Data[],MATCH($A113,Data[Dist],0),MATCH(E$4,Data[#Headers],0)))</f>
        <v>10336</v>
      </c>
      <c r="F113" s="22">
        <f>IF(OR(Notes!$B$3="Pay 1 Regular State Payment Budget",Notes!$B$3="Pay 2 Regular State Payment Budget"),0,INDEX(Data[],MATCH($A113,Data[Dist],0),MATCH(F$4,Data[#Headers],0)))</f>
        <v>0</v>
      </c>
      <c r="G113" s="22">
        <f>INDEX(Data[],MATCH($A113,Data[Dist],0),MATCH(G$4,Data[#Headers],0))</f>
        <v>2316420</v>
      </c>
    </row>
    <row r="114" spans="1:7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8906766</v>
      </c>
      <c r="D114" s="22">
        <f>INDEX(Data[],MATCH($A114,Data[Dist],0),MATCH(D$4,Data[#Headers],0))</f>
        <v>813</v>
      </c>
      <c r="E114" s="22">
        <f>IF(Notes!$B$3="Pay 1 Regular State Payment Budget",0,INDEX(Data[],MATCH($A114,Data[Dist],0),MATCH(E$4,Data[#Headers],0)))</f>
        <v>39754</v>
      </c>
      <c r="F114" s="22">
        <f>IF(OR(Notes!$B$3="Pay 1 Regular State Payment Budget",Notes!$B$3="Pay 2 Regular State Payment Budget"),0,INDEX(Data[],MATCH($A114,Data[Dist],0),MATCH(F$4,Data[#Headers],0)))</f>
        <v>0</v>
      </c>
      <c r="G114" s="22">
        <f>INDEX(Data[],MATCH($A114,Data[Dist],0),MATCH(G$4,Data[#Headers],0))</f>
        <v>8866199</v>
      </c>
    </row>
    <row r="115" spans="1:7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6423327</v>
      </c>
      <c r="D115" s="22">
        <f>INDEX(Data[],MATCH($A115,Data[Dist],0),MATCH(D$4,Data[#Headers],0))</f>
        <v>1194</v>
      </c>
      <c r="E115" s="22">
        <f>IF(Notes!$B$3="Pay 1 Regular State Payment Budget",0,INDEX(Data[],MATCH($A115,Data[Dist],0),MATCH(E$4,Data[#Headers],0)))</f>
        <v>27289</v>
      </c>
      <c r="F115" s="22">
        <f>IF(OR(Notes!$B$3="Pay 1 Regular State Payment Budget",Notes!$B$3="Pay 2 Regular State Payment Budget"),0,INDEX(Data[],MATCH($A115,Data[Dist],0),MATCH(F$4,Data[#Headers],0)))</f>
        <v>0</v>
      </c>
      <c r="G115" s="22">
        <f>INDEX(Data[],MATCH($A115,Data[Dist],0),MATCH(G$4,Data[#Headers],0))</f>
        <v>6394844</v>
      </c>
    </row>
    <row r="116" spans="1:7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26334593</v>
      </c>
      <c r="D116" s="22">
        <f>INDEX(Data[],MATCH($A116,Data[Dist],0),MATCH(D$4,Data[#Headers],0))</f>
        <v>3267</v>
      </c>
      <c r="E116" s="22">
        <f>IF(Notes!$B$3="Pay 1 Regular State Payment Budget",0,INDEX(Data[],MATCH($A116,Data[Dist],0),MATCH(E$4,Data[#Headers],0)))</f>
        <v>94925</v>
      </c>
      <c r="F116" s="22">
        <f>IF(OR(Notes!$B$3="Pay 1 Regular State Payment Budget",Notes!$B$3="Pay 2 Regular State Payment Budget"),0,INDEX(Data[],MATCH($A116,Data[Dist],0),MATCH(F$4,Data[#Headers],0)))</f>
        <v>459007</v>
      </c>
      <c r="G116" s="22">
        <f>INDEX(Data[],MATCH($A116,Data[Dist],0),MATCH(G$4,Data[#Headers],0))</f>
        <v>25777394</v>
      </c>
    </row>
    <row r="117" spans="1:7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13350798</v>
      </c>
      <c r="D117" s="22">
        <f>INDEX(Data[],MATCH($A117,Data[Dist],0),MATCH(D$4,Data[#Headers],0))</f>
        <v>1028</v>
      </c>
      <c r="E117" s="22">
        <f>IF(Notes!$B$3="Pay 1 Regular State Payment Budget",0,INDEX(Data[],MATCH($A117,Data[Dist],0),MATCH(E$4,Data[#Headers],0)))</f>
        <v>53545</v>
      </c>
      <c r="F117" s="22">
        <f>IF(OR(Notes!$B$3="Pay 1 Regular State Payment Budget",Notes!$B$3="Pay 2 Regular State Payment Budget"),0,INDEX(Data[],MATCH($A117,Data[Dist],0),MATCH(F$4,Data[#Headers],0)))</f>
        <v>0</v>
      </c>
      <c r="G117" s="22">
        <f>INDEX(Data[],MATCH($A117,Data[Dist],0),MATCH(G$4,Data[#Headers],0))</f>
        <v>13296225</v>
      </c>
    </row>
    <row r="118" spans="1:7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2643699</v>
      </c>
      <c r="D118" s="22">
        <f>INDEX(Data[],MATCH($A118,Data[Dist],0),MATCH(D$4,Data[#Headers],0))</f>
        <v>464</v>
      </c>
      <c r="E118" s="22">
        <f>IF(Notes!$B$3="Pay 1 Regular State Payment Budget",0,INDEX(Data[],MATCH($A118,Data[Dist],0),MATCH(E$4,Data[#Headers],0)))</f>
        <v>11290</v>
      </c>
      <c r="F118" s="22">
        <f>IF(OR(Notes!$B$3="Pay 1 Regular State Payment Budget",Notes!$B$3="Pay 2 Regular State Payment Budget"),0,INDEX(Data[],MATCH($A118,Data[Dist],0),MATCH(F$4,Data[#Headers],0)))</f>
        <v>0</v>
      </c>
      <c r="G118" s="22">
        <f>INDEX(Data[],MATCH($A118,Data[Dist],0),MATCH(G$4,Data[#Headers],0))</f>
        <v>2631945</v>
      </c>
    </row>
    <row r="119" spans="1:7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2192590</v>
      </c>
      <c r="D119" s="22">
        <f>INDEX(Data[],MATCH($A119,Data[Dist],0),MATCH(D$4,Data[#Headers],0))</f>
        <v>531</v>
      </c>
      <c r="E119" s="22">
        <f>IF(Notes!$B$3="Pay 1 Regular State Payment Budget",0,INDEX(Data[],MATCH($A119,Data[Dist],0),MATCH(E$4,Data[#Headers],0)))</f>
        <v>11091</v>
      </c>
      <c r="F119" s="22">
        <f>IF(OR(Notes!$B$3="Pay 1 Regular State Payment Budget",Notes!$B$3="Pay 2 Regular State Payment Budget"),0,INDEX(Data[],MATCH($A119,Data[Dist],0),MATCH(F$4,Data[#Headers],0)))</f>
        <v>0</v>
      </c>
      <c r="G119" s="22">
        <f>INDEX(Data[],MATCH($A119,Data[Dist],0),MATCH(G$4,Data[#Headers],0))</f>
        <v>2180968</v>
      </c>
    </row>
    <row r="120" spans="1:7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3953506</v>
      </c>
      <c r="D120" s="22">
        <f>INDEX(Data[],MATCH($A120,Data[Dist],0),MATCH(D$4,Data[#Headers],0))</f>
        <v>1045</v>
      </c>
      <c r="E120" s="22">
        <f>IF(Notes!$B$3="Pay 1 Regular State Payment Budget",0,INDEX(Data[],MATCH($A120,Data[Dist],0),MATCH(E$4,Data[#Headers],0)))</f>
        <v>22034</v>
      </c>
      <c r="F120" s="22">
        <f>IF(OR(Notes!$B$3="Pay 1 Regular State Payment Budget",Notes!$B$3="Pay 2 Regular State Payment Budget"),0,INDEX(Data[],MATCH($A120,Data[Dist],0),MATCH(F$4,Data[#Headers],0)))</f>
        <v>0</v>
      </c>
      <c r="G120" s="22">
        <f>INDEX(Data[],MATCH($A120,Data[Dist],0),MATCH(G$4,Data[#Headers],0))</f>
        <v>3930427</v>
      </c>
    </row>
    <row r="121" spans="1:7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2053436</v>
      </c>
      <c r="D121" s="22">
        <f>INDEX(Data[],MATCH($A121,Data[Dist],0),MATCH(D$4,Data[#Headers],0))</f>
        <v>315</v>
      </c>
      <c r="E121" s="22">
        <f>IF(Notes!$B$3="Pay 1 Regular State Payment Budget",0,INDEX(Data[],MATCH($A121,Data[Dist],0),MATCH(E$4,Data[#Headers],0)))</f>
        <v>10646</v>
      </c>
      <c r="F121" s="22">
        <f>IF(OR(Notes!$B$3="Pay 1 Regular State Payment Budget",Notes!$B$3="Pay 2 Regular State Payment Budget"),0,INDEX(Data[],MATCH($A121,Data[Dist],0),MATCH(F$4,Data[#Headers],0)))</f>
        <v>0</v>
      </c>
      <c r="G121" s="22">
        <f>INDEX(Data[],MATCH($A121,Data[Dist],0),MATCH(G$4,Data[#Headers],0))</f>
        <v>2042475</v>
      </c>
    </row>
    <row r="122" spans="1:7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8149120</v>
      </c>
      <c r="D122" s="22">
        <f>INDEX(Data[],MATCH($A122,Data[Dist],0),MATCH(D$4,Data[#Headers],0))</f>
        <v>979</v>
      </c>
      <c r="E122" s="22">
        <f>IF(Notes!$B$3="Pay 1 Regular State Payment Budget",0,INDEX(Data[],MATCH($A122,Data[Dist],0),MATCH(E$4,Data[#Headers],0)))</f>
        <v>37236</v>
      </c>
      <c r="F122" s="22">
        <f>IF(OR(Notes!$B$3="Pay 1 Regular State Payment Budget",Notes!$B$3="Pay 2 Regular State Payment Budget"),0,INDEX(Data[],MATCH($A122,Data[Dist],0),MATCH(F$4,Data[#Headers],0)))</f>
        <v>0</v>
      </c>
      <c r="G122" s="22">
        <f>INDEX(Data[],MATCH($A122,Data[Dist],0),MATCH(G$4,Data[#Headers],0))</f>
        <v>8110905</v>
      </c>
    </row>
    <row r="123" spans="1:7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754865</v>
      </c>
      <c r="D123" s="22">
        <f>INDEX(Data[],MATCH($A123,Data[Dist],0),MATCH(D$4,Data[#Headers],0))</f>
        <v>265</v>
      </c>
      <c r="E123" s="22">
        <f>IF(Notes!$B$3="Pay 1 Regular State Payment Budget",0,INDEX(Data[],MATCH($A123,Data[Dist],0),MATCH(E$4,Data[#Headers],0)))</f>
        <v>3647</v>
      </c>
      <c r="F123" s="22">
        <f>IF(OR(Notes!$B$3="Pay 1 Regular State Payment Budget",Notes!$B$3="Pay 2 Regular State Payment Budget"),0,INDEX(Data[],MATCH($A123,Data[Dist],0),MATCH(F$4,Data[#Headers],0)))</f>
        <v>0</v>
      </c>
      <c r="G123" s="22">
        <f>INDEX(Data[],MATCH($A123,Data[Dist],0),MATCH(G$4,Data[#Headers],0))</f>
        <v>750953</v>
      </c>
    </row>
    <row r="124" spans="1:7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3255461</v>
      </c>
      <c r="D124" s="22">
        <f>INDEX(Data[],MATCH($A124,Data[Dist],0),MATCH(D$4,Data[#Headers],0))</f>
        <v>564</v>
      </c>
      <c r="E124" s="22">
        <f>IF(Notes!$B$3="Pay 1 Regular State Payment Budget",0,INDEX(Data[],MATCH($A124,Data[Dist],0),MATCH(E$4,Data[#Headers],0)))</f>
        <v>14605</v>
      </c>
      <c r="F124" s="22">
        <f>IF(OR(Notes!$B$3="Pay 1 Regular State Payment Budget",Notes!$B$3="Pay 2 Regular State Payment Budget"),0,INDEX(Data[],MATCH($A124,Data[Dist],0),MATCH(F$4,Data[#Headers],0)))</f>
        <v>0</v>
      </c>
      <c r="G124" s="22">
        <f>INDEX(Data[],MATCH($A124,Data[Dist],0),MATCH(G$4,Data[#Headers],0))</f>
        <v>3240292</v>
      </c>
    </row>
    <row r="125" spans="1:7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11974041</v>
      </c>
      <c r="D125" s="22">
        <f>INDEX(Data[],MATCH($A125,Data[Dist],0),MATCH(D$4,Data[#Headers],0))</f>
        <v>1459</v>
      </c>
      <c r="E125" s="22">
        <f>IF(Notes!$B$3="Pay 1 Regular State Payment Budget",0,INDEX(Data[],MATCH($A125,Data[Dist],0),MATCH(E$4,Data[#Headers],0)))</f>
        <v>49433</v>
      </c>
      <c r="F125" s="22">
        <f>IF(OR(Notes!$B$3="Pay 1 Regular State Payment Budget",Notes!$B$3="Pay 2 Regular State Payment Budget"),0,INDEX(Data[],MATCH($A125,Data[Dist],0),MATCH(F$4,Data[#Headers],0)))</f>
        <v>0</v>
      </c>
      <c r="G125" s="22">
        <f>INDEX(Data[],MATCH($A125,Data[Dist],0),MATCH(G$4,Data[#Headers],0))</f>
        <v>11923149</v>
      </c>
    </row>
    <row r="126" spans="1:7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1467749</v>
      </c>
      <c r="D126" s="22">
        <f>INDEX(Data[],MATCH($A126,Data[Dist],0),MATCH(D$4,Data[#Headers],0))</f>
        <v>415</v>
      </c>
      <c r="E126" s="22">
        <f>IF(Notes!$B$3="Pay 1 Regular State Payment Budget",0,INDEX(Data[],MATCH($A126,Data[Dist],0),MATCH(E$4,Data[#Headers],0)))</f>
        <v>6944</v>
      </c>
      <c r="F126" s="22">
        <f>IF(OR(Notes!$B$3="Pay 1 Regular State Payment Budget",Notes!$B$3="Pay 2 Regular State Payment Budget"),0,INDEX(Data[],MATCH($A126,Data[Dist],0),MATCH(F$4,Data[#Headers],0)))</f>
        <v>0</v>
      </c>
      <c r="G126" s="22">
        <f>INDEX(Data[],MATCH($A126,Data[Dist],0),MATCH(G$4,Data[#Headers],0))</f>
        <v>1460390</v>
      </c>
    </row>
    <row r="127" spans="1:7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1704606</v>
      </c>
      <c r="D127" s="22">
        <f>INDEX(Data[],MATCH($A127,Data[Dist],0),MATCH(D$4,Data[#Headers],0))</f>
        <v>216</v>
      </c>
      <c r="E127" s="22">
        <f>IF(Notes!$B$3="Pay 1 Regular State Payment Budget",0,INDEX(Data[],MATCH($A127,Data[Dist],0),MATCH(E$4,Data[#Headers],0)))</f>
        <v>9742</v>
      </c>
      <c r="F127" s="22">
        <f>IF(OR(Notes!$B$3="Pay 1 Regular State Payment Budget",Notes!$B$3="Pay 2 Regular State Payment Budget"),0,INDEX(Data[],MATCH($A127,Data[Dist],0),MATCH(F$4,Data[#Headers],0)))</f>
        <v>0</v>
      </c>
      <c r="G127" s="22">
        <f>INDEX(Data[],MATCH($A127,Data[Dist],0),MATCH(G$4,Data[#Headers],0))</f>
        <v>1694648</v>
      </c>
    </row>
    <row r="128" spans="1:7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3823160</v>
      </c>
      <c r="D128" s="22">
        <f>INDEX(Data[],MATCH($A128,Data[Dist],0),MATCH(D$4,Data[#Headers],0))</f>
        <v>365</v>
      </c>
      <c r="E128" s="22">
        <f>IF(Notes!$B$3="Pay 1 Regular State Payment Budget",0,INDEX(Data[],MATCH($A128,Data[Dist],0),MATCH(E$4,Data[#Headers],0)))</f>
        <v>16081</v>
      </c>
      <c r="F128" s="22">
        <f>IF(OR(Notes!$B$3="Pay 1 Regular State Payment Budget",Notes!$B$3="Pay 2 Regular State Payment Budget"),0,INDEX(Data[],MATCH($A128,Data[Dist],0),MATCH(F$4,Data[#Headers],0)))</f>
        <v>0</v>
      </c>
      <c r="G128" s="22">
        <f>INDEX(Data[],MATCH($A128,Data[Dist],0),MATCH(G$4,Data[#Headers],0))</f>
        <v>3806714</v>
      </c>
    </row>
    <row r="129" spans="1:7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1422664</v>
      </c>
      <c r="D129" s="22">
        <f>INDEX(Data[],MATCH($A129,Data[Dist],0),MATCH(D$4,Data[#Headers],0))</f>
        <v>315</v>
      </c>
      <c r="E129" s="22">
        <f>IF(Notes!$B$3="Pay 1 Regular State Payment Budget",0,INDEX(Data[],MATCH($A129,Data[Dist],0),MATCH(E$4,Data[#Headers],0)))</f>
        <v>7029</v>
      </c>
      <c r="F129" s="22">
        <f>IF(OR(Notes!$B$3="Pay 1 Regular State Payment Budget",Notes!$B$3="Pay 2 Regular State Payment Budget"),0,INDEX(Data[],MATCH($A129,Data[Dist],0),MATCH(F$4,Data[#Headers],0)))</f>
        <v>0</v>
      </c>
      <c r="G129" s="22">
        <f>INDEX(Data[],MATCH($A129,Data[Dist],0),MATCH(G$4,Data[#Headers],0))</f>
        <v>1415320</v>
      </c>
    </row>
    <row r="130" spans="1:7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9665445</v>
      </c>
      <c r="D130" s="22">
        <f>INDEX(Data[],MATCH($A130,Data[Dist],0),MATCH(D$4,Data[#Headers],0))</f>
        <v>1526</v>
      </c>
      <c r="E130" s="22">
        <f>IF(Notes!$B$3="Pay 1 Regular State Payment Budget",0,INDEX(Data[],MATCH($A130,Data[Dist],0),MATCH(E$4,Data[#Headers],0)))</f>
        <v>39919</v>
      </c>
      <c r="F130" s="22">
        <f>IF(OR(Notes!$B$3="Pay 1 Regular State Payment Budget",Notes!$B$3="Pay 2 Regular State Payment Budget"),0,INDEX(Data[],MATCH($A130,Data[Dist],0),MATCH(F$4,Data[#Headers],0)))</f>
        <v>0</v>
      </c>
      <c r="G130" s="22">
        <f>INDEX(Data[],MATCH($A130,Data[Dist],0),MATCH(G$4,Data[#Headers],0))</f>
        <v>9624000</v>
      </c>
    </row>
    <row r="131" spans="1:7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2889110</v>
      </c>
      <c r="D131" s="22">
        <f>INDEX(Data[],MATCH($A131,Data[Dist],0),MATCH(D$4,Data[#Headers],0))</f>
        <v>398</v>
      </c>
      <c r="E131" s="22">
        <f>IF(Notes!$B$3="Pay 1 Regular State Payment Budget",0,INDEX(Data[],MATCH($A131,Data[Dist],0),MATCH(E$4,Data[#Headers],0)))</f>
        <v>12587</v>
      </c>
      <c r="F131" s="22">
        <f>IF(OR(Notes!$B$3="Pay 1 Regular State Payment Budget",Notes!$B$3="Pay 2 Regular State Payment Budget"),0,INDEX(Data[],MATCH($A131,Data[Dist],0),MATCH(F$4,Data[#Headers],0)))</f>
        <v>0</v>
      </c>
      <c r="G131" s="22">
        <f>INDEX(Data[],MATCH($A131,Data[Dist],0),MATCH(G$4,Data[#Headers],0))</f>
        <v>2876125</v>
      </c>
    </row>
    <row r="132" spans="1:7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4105474</v>
      </c>
      <c r="D132" s="22">
        <f>INDEX(Data[],MATCH($A132,Data[Dist],0),MATCH(D$4,Data[#Headers],0))</f>
        <v>813</v>
      </c>
      <c r="E132" s="22">
        <f>IF(Notes!$B$3="Pay 1 Regular State Payment Budget",0,INDEX(Data[],MATCH($A132,Data[Dist],0),MATCH(E$4,Data[#Headers],0)))</f>
        <v>16341</v>
      </c>
      <c r="F132" s="22">
        <f>IF(OR(Notes!$B$3="Pay 1 Regular State Payment Budget",Notes!$B$3="Pay 2 Regular State Payment Budget"),0,INDEX(Data[],MATCH($A132,Data[Dist],0),MATCH(F$4,Data[#Headers],0)))</f>
        <v>0</v>
      </c>
      <c r="G132" s="22">
        <f>INDEX(Data[],MATCH($A132,Data[Dist],0),MATCH(G$4,Data[#Headers],0))</f>
        <v>4088320</v>
      </c>
    </row>
    <row r="133" spans="1:7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2765078</v>
      </c>
      <c r="D133" s="22">
        <f>INDEX(Data[],MATCH($A133,Data[Dist],0),MATCH(D$4,Data[#Headers],0))</f>
        <v>431</v>
      </c>
      <c r="E133" s="22">
        <f>IF(Notes!$B$3="Pay 1 Regular State Payment Budget",0,INDEX(Data[],MATCH($A133,Data[Dist],0),MATCH(E$4,Data[#Headers],0)))</f>
        <v>11181</v>
      </c>
      <c r="F133" s="22">
        <f>IF(OR(Notes!$B$3="Pay 1 Regular State Payment Budget",Notes!$B$3="Pay 2 Regular State Payment Budget"),0,INDEX(Data[],MATCH($A133,Data[Dist],0),MATCH(F$4,Data[#Headers],0)))</f>
        <v>0</v>
      </c>
      <c r="G133" s="22">
        <f>INDEX(Data[],MATCH($A133,Data[Dist],0),MATCH(G$4,Data[#Headers],0))</f>
        <v>2753466</v>
      </c>
    </row>
    <row r="134" spans="1:7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2517882</v>
      </c>
      <c r="D134" s="22">
        <f>INDEX(Data[],MATCH($A134,Data[Dist],0),MATCH(D$4,Data[#Headers],0))</f>
        <v>614</v>
      </c>
      <c r="E134" s="22">
        <f>IF(Notes!$B$3="Pay 1 Regular State Payment Budget",0,INDEX(Data[],MATCH($A134,Data[Dist],0),MATCH(E$4,Data[#Headers],0)))</f>
        <v>14273</v>
      </c>
      <c r="F134" s="22">
        <f>IF(OR(Notes!$B$3="Pay 1 Regular State Payment Budget",Notes!$B$3="Pay 2 Regular State Payment Budget"),0,INDEX(Data[],MATCH($A134,Data[Dist],0),MATCH(F$4,Data[#Headers],0)))</f>
        <v>0</v>
      </c>
      <c r="G134" s="22">
        <f>INDEX(Data[],MATCH($A134,Data[Dist],0),MATCH(G$4,Data[#Headers],0))</f>
        <v>2502995</v>
      </c>
    </row>
    <row r="135" spans="1:7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1908198</v>
      </c>
      <c r="D135" s="22">
        <f>INDEX(Data[],MATCH($A135,Data[Dist],0),MATCH(D$4,Data[#Headers],0))</f>
        <v>481</v>
      </c>
      <c r="E135" s="22">
        <f>IF(Notes!$B$3="Pay 1 Regular State Payment Budget",0,INDEX(Data[],MATCH($A135,Data[Dist],0),MATCH(E$4,Data[#Headers],0)))</f>
        <v>8335</v>
      </c>
      <c r="F135" s="22">
        <f>IF(OR(Notes!$B$3="Pay 1 Regular State Payment Budget",Notes!$B$3="Pay 2 Regular State Payment Budget"),0,INDEX(Data[],MATCH($A135,Data[Dist],0),MATCH(F$4,Data[#Headers],0)))</f>
        <v>0</v>
      </c>
      <c r="G135" s="22">
        <f>INDEX(Data[],MATCH($A135,Data[Dist],0),MATCH(G$4,Data[#Headers],0))</f>
        <v>1899382</v>
      </c>
    </row>
    <row r="136" spans="1:7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1088107</v>
      </c>
      <c r="D136" s="22">
        <f>INDEX(Data[],MATCH($A136,Data[Dist],0),MATCH(D$4,Data[#Headers],0))</f>
        <v>232</v>
      </c>
      <c r="E136" s="22">
        <f>IF(Notes!$B$3="Pay 1 Regular State Payment Budget",0,INDEX(Data[],MATCH($A136,Data[Dist],0),MATCH(E$4,Data[#Headers],0)))</f>
        <v>5520</v>
      </c>
      <c r="F136" s="22">
        <f>IF(OR(Notes!$B$3="Pay 1 Regular State Payment Budget",Notes!$B$3="Pay 2 Regular State Payment Budget"),0,INDEX(Data[],MATCH($A136,Data[Dist],0),MATCH(F$4,Data[#Headers],0)))</f>
        <v>0</v>
      </c>
      <c r="G136" s="22">
        <f>INDEX(Data[],MATCH($A136,Data[Dist],0),MATCH(G$4,Data[#Headers],0))</f>
        <v>1082355</v>
      </c>
    </row>
    <row r="137" spans="1:7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7994730</v>
      </c>
      <c r="D137" s="22">
        <f>INDEX(Data[],MATCH($A137,Data[Dist],0),MATCH(D$4,Data[#Headers],0))</f>
        <v>829</v>
      </c>
      <c r="E137" s="22">
        <f>IF(Notes!$B$3="Pay 1 Regular State Payment Budget",0,INDEX(Data[],MATCH($A137,Data[Dist],0),MATCH(E$4,Data[#Headers],0)))</f>
        <v>29980</v>
      </c>
      <c r="F137" s="22">
        <f>IF(OR(Notes!$B$3="Pay 1 Regular State Payment Budget",Notes!$B$3="Pay 2 Regular State Payment Budget"),0,INDEX(Data[],MATCH($A137,Data[Dist],0),MATCH(F$4,Data[#Headers],0)))</f>
        <v>0</v>
      </c>
      <c r="G137" s="22">
        <f>INDEX(Data[],MATCH($A137,Data[Dist],0),MATCH(G$4,Data[#Headers],0))</f>
        <v>7963921</v>
      </c>
    </row>
    <row r="138" spans="1:7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8423181</v>
      </c>
      <c r="D138" s="22">
        <f>INDEX(Data[],MATCH($A138,Data[Dist],0),MATCH(D$4,Data[#Headers],0))</f>
        <v>1128</v>
      </c>
      <c r="E138" s="22">
        <f>IF(Notes!$B$3="Pay 1 Regular State Payment Budget",0,INDEX(Data[],MATCH($A138,Data[Dist],0),MATCH(E$4,Data[#Headers],0)))</f>
        <v>35742</v>
      </c>
      <c r="F138" s="22">
        <f>IF(OR(Notes!$B$3="Pay 1 Regular State Payment Budget",Notes!$B$3="Pay 2 Regular State Payment Budget"),0,INDEX(Data[],MATCH($A138,Data[Dist],0),MATCH(F$4,Data[#Headers],0)))</f>
        <v>0</v>
      </c>
      <c r="G138" s="22">
        <f>INDEX(Data[],MATCH($A138,Data[Dist],0),MATCH(G$4,Data[#Headers],0))</f>
        <v>8386311</v>
      </c>
    </row>
    <row r="139" spans="1:7" s="21" customFormat="1" ht="12.75" x14ac:dyDescent="0.2">
      <c r="A139" s="20" t="str">
        <f>Data!B135</f>
        <v>2834</v>
      </c>
      <c r="B139" s="21" t="str">
        <f>INDEX(Data[],MATCH($A139,Data[Dist],0),MATCH(B$4,Data[#Headers],0))</f>
        <v>Harmony</v>
      </c>
      <c r="C139" s="22">
        <f>INDEX(Data[],MATCH($A139,Data[Dist],0),MATCH(C$4,Data[#Headers],0))</f>
        <v>2287203</v>
      </c>
      <c r="D139" s="22">
        <f>INDEX(Data[],MATCH($A139,Data[Dist],0),MATCH(D$4,Data[#Headers],0))</f>
        <v>232</v>
      </c>
      <c r="E139" s="22">
        <f>IF(Notes!$B$3="Pay 1 Regular State Payment Budget",0,INDEX(Data[],MATCH($A139,Data[Dist],0),MATCH(E$4,Data[#Headers],0)))</f>
        <v>8650</v>
      </c>
      <c r="F139" s="22">
        <f>IF(OR(Notes!$B$3="Pay 1 Regular State Payment Budget",Notes!$B$3="Pay 2 Regular State Payment Budget"),0,INDEX(Data[],MATCH($A139,Data[Dist],0),MATCH(F$4,Data[#Headers],0)))</f>
        <v>0</v>
      </c>
      <c r="G139" s="22">
        <f>INDEX(Data[],MATCH($A139,Data[Dist],0),MATCH(G$4,Data[#Headers],0))</f>
        <v>2278321</v>
      </c>
    </row>
    <row r="140" spans="1:7" s="21" customFormat="1" ht="12.75" x14ac:dyDescent="0.2">
      <c r="A140" s="20" t="str">
        <f>Data!B136</f>
        <v>2846</v>
      </c>
      <c r="B140" s="21" t="str">
        <f>INDEX(Data[],MATCH($A140,Data[Dist],0),MATCH(B$4,Data[#Headers],0))</f>
        <v>Harris-Lake Park</v>
      </c>
      <c r="C140" s="22">
        <f>INDEX(Data[],MATCH($A140,Data[Dist],0),MATCH(C$4,Data[#Headers],0))</f>
        <v>1071350</v>
      </c>
      <c r="D140" s="22">
        <f>INDEX(Data[],MATCH($A140,Data[Dist],0),MATCH(D$4,Data[#Headers],0))</f>
        <v>332</v>
      </c>
      <c r="E140" s="22">
        <f>IF(Notes!$B$3="Pay 1 Regular State Payment Budget",0,INDEX(Data[],MATCH($A140,Data[Dist],0),MATCH(E$4,Data[#Headers],0)))</f>
        <v>7666</v>
      </c>
      <c r="F140" s="22">
        <f>IF(OR(Notes!$B$3="Pay 1 Regular State Payment Budget",Notes!$B$3="Pay 2 Regular State Payment Budget"),0,INDEX(Data[],MATCH($A140,Data[Dist],0),MATCH(F$4,Data[#Headers],0)))</f>
        <v>0</v>
      </c>
      <c r="G140" s="22">
        <f>INDEX(Data[],MATCH($A140,Data[Dist],0),MATCH(G$4,Data[#Headers],0))</f>
        <v>1063352</v>
      </c>
    </row>
    <row r="141" spans="1:7" s="21" customFormat="1" ht="12.75" x14ac:dyDescent="0.2">
      <c r="A141" s="20" t="str">
        <f>Data!B137</f>
        <v>2862</v>
      </c>
      <c r="B141" s="21" t="str">
        <f>INDEX(Data[],MATCH($A141,Data[Dist],0),MATCH(B$4,Data[#Headers],0))</f>
        <v>Hartley-Melvin-Sanborn</v>
      </c>
      <c r="C141" s="22">
        <f>INDEX(Data[],MATCH($A141,Data[Dist],0),MATCH(C$4,Data[#Headers],0))</f>
        <v>3188803</v>
      </c>
      <c r="D141" s="22">
        <f>INDEX(Data[],MATCH($A141,Data[Dist],0),MATCH(D$4,Data[#Headers],0))</f>
        <v>647</v>
      </c>
      <c r="E141" s="22">
        <f>IF(Notes!$B$3="Pay 1 Regular State Payment Budget",0,INDEX(Data[],MATCH($A141,Data[Dist],0),MATCH(E$4,Data[#Headers],0)))</f>
        <v>15684</v>
      </c>
      <c r="F141" s="22">
        <f>IF(OR(Notes!$B$3="Pay 1 Regular State Payment Budget",Notes!$B$3="Pay 2 Regular State Payment Budget"),0,INDEX(Data[],MATCH($A141,Data[Dist],0),MATCH(F$4,Data[#Headers],0)))</f>
        <v>0</v>
      </c>
      <c r="G141" s="22">
        <f>INDEX(Data[],MATCH($A141,Data[Dist],0),MATCH(G$4,Data[#Headers],0))</f>
        <v>3172472</v>
      </c>
    </row>
    <row r="142" spans="1:7" s="21" customFormat="1" ht="12.75" x14ac:dyDescent="0.2">
      <c r="A142" s="20" t="str">
        <f>Data!B138</f>
        <v>2977</v>
      </c>
      <c r="B142" s="21" t="str">
        <f>INDEX(Data[],MATCH($A142,Data[Dist],0),MATCH(B$4,Data[#Headers],0))</f>
        <v>Highland</v>
      </c>
      <c r="C142" s="22">
        <f>INDEX(Data[],MATCH($A142,Data[Dist],0),MATCH(C$4,Data[#Headers],0))</f>
        <v>3316116</v>
      </c>
      <c r="D142" s="22">
        <f>INDEX(Data[],MATCH($A142,Data[Dist],0),MATCH(D$4,Data[#Headers],0))</f>
        <v>597</v>
      </c>
      <c r="E142" s="22">
        <f>IF(Notes!$B$3="Pay 1 Regular State Payment Budget",0,INDEX(Data[],MATCH($A142,Data[Dist],0),MATCH(E$4,Data[#Headers],0)))</f>
        <v>15417</v>
      </c>
      <c r="F142" s="22">
        <f>IF(OR(Notes!$B$3="Pay 1 Regular State Payment Budget",Notes!$B$3="Pay 2 Regular State Payment Budget"),0,INDEX(Data[],MATCH($A142,Data[Dist],0),MATCH(F$4,Data[#Headers],0)))</f>
        <v>0</v>
      </c>
      <c r="G142" s="22">
        <f>INDEX(Data[],MATCH($A142,Data[Dist],0),MATCH(G$4,Data[#Headers],0))</f>
        <v>3300102</v>
      </c>
    </row>
    <row r="143" spans="1:7" s="21" customFormat="1" ht="12.75" x14ac:dyDescent="0.2">
      <c r="A143" s="20" t="str">
        <f>Data!B139</f>
        <v>2988</v>
      </c>
      <c r="B143" s="21" t="str">
        <f>INDEX(Data[],MATCH($A143,Data[Dist],0),MATCH(B$4,Data[#Headers],0))</f>
        <v>Hinton</v>
      </c>
      <c r="C143" s="22">
        <f>INDEX(Data[],MATCH($A143,Data[Dist],0),MATCH(C$4,Data[#Headers],0))</f>
        <v>2941378</v>
      </c>
      <c r="D143" s="22">
        <f>INDEX(Data[],MATCH($A143,Data[Dist],0),MATCH(D$4,Data[#Headers],0))</f>
        <v>514</v>
      </c>
      <c r="E143" s="22">
        <f>IF(Notes!$B$3="Pay 1 Regular State Payment Budget",0,INDEX(Data[],MATCH($A143,Data[Dist],0),MATCH(E$4,Data[#Headers],0)))</f>
        <v>13141</v>
      </c>
      <c r="F143" s="22">
        <f>IF(OR(Notes!$B$3="Pay 1 Regular State Payment Budget",Notes!$B$3="Pay 2 Regular State Payment Budget"),0,INDEX(Data[],MATCH($A143,Data[Dist],0),MATCH(F$4,Data[#Headers],0)))</f>
        <v>0</v>
      </c>
      <c r="G143" s="22">
        <f>INDEX(Data[],MATCH($A143,Data[Dist],0),MATCH(G$4,Data[#Headers],0))</f>
        <v>2927723</v>
      </c>
    </row>
    <row r="144" spans="1:7" s="21" customFormat="1" ht="12.75" x14ac:dyDescent="0.2">
      <c r="A144" s="20" t="str">
        <f>Data!B140</f>
        <v>3029</v>
      </c>
      <c r="B144" s="21" t="str">
        <f>INDEX(Data[],MATCH($A144,Data[Dist],0),MATCH(B$4,Data[#Headers],0))</f>
        <v>Howard-Winneshiek</v>
      </c>
      <c r="C144" s="22">
        <f>INDEX(Data[],MATCH($A144,Data[Dist],0),MATCH(C$4,Data[#Headers],0))</f>
        <v>6239092</v>
      </c>
      <c r="D144" s="22">
        <f>INDEX(Data[],MATCH($A144,Data[Dist],0),MATCH(D$4,Data[#Headers],0))</f>
        <v>929</v>
      </c>
      <c r="E144" s="22">
        <f>IF(Notes!$B$3="Pay 1 Regular State Payment Budget",0,INDEX(Data[],MATCH($A144,Data[Dist],0),MATCH(E$4,Data[#Headers],0)))</f>
        <v>28985</v>
      </c>
      <c r="F144" s="22">
        <f>IF(OR(Notes!$B$3="Pay 1 Regular State Payment Budget",Notes!$B$3="Pay 2 Regular State Payment Budget"),0,INDEX(Data[],MATCH($A144,Data[Dist],0),MATCH(F$4,Data[#Headers],0)))</f>
        <v>0</v>
      </c>
      <c r="G144" s="22">
        <f>INDEX(Data[],MATCH($A144,Data[Dist],0),MATCH(G$4,Data[#Headers],0))</f>
        <v>6209178</v>
      </c>
    </row>
    <row r="145" spans="1:7" s="21" customFormat="1" ht="12.75" x14ac:dyDescent="0.2">
      <c r="A145" s="20" t="str">
        <f>Data!B141</f>
        <v>3033</v>
      </c>
      <c r="B145" s="21" t="str">
        <f>INDEX(Data[],MATCH($A145,Data[Dist],0),MATCH(B$4,Data[#Headers],0))</f>
        <v>Hubbard-Radcliffe</v>
      </c>
      <c r="C145" s="22">
        <f>INDEX(Data[],MATCH($A145,Data[Dist],0),MATCH(C$4,Data[#Headers],0))</f>
        <v>1932161</v>
      </c>
      <c r="D145" s="22">
        <f>INDEX(Data[],MATCH($A145,Data[Dist],0),MATCH(D$4,Data[#Headers],0))</f>
        <v>348</v>
      </c>
      <c r="E145" s="22">
        <f>IF(Notes!$B$3="Pay 1 Regular State Payment Budget",0,INDEX(Data[],MATCH($A145,Data[Dist],0),MATCH(E$4,Data[#Headers],0)))</f>
        <v>11101</v>
      </c>
      <c r="F145" s="22">
        <f>IF(OR(Notes!$B$3="Pay 1 Regular State Payment Budget",Notes!$B$3="Pay 2 Regular State Payment Budget"),0,INDEX(Data[],MATCH($A145,Data[Dist],0),MATCH(F$4,Data[#Headers],0)))</f>
        <v>0</v>
      </c>
      <c r="G145" s="22">
        <f>INDEX(Data[],MATCH($A145,Data[Dist],0),MATCH(G$4,Data[#Headers],0))</f>
        <v>1920712</v>
      </c>
    </row>
    <row r="146" spans="1:7" s="21" customFormat="1" ht="12.75" x14ac:dyDescent="0.2">
      <c r="A146" s="20" t="str">
        <f>Data!B142</f>
        <v>3042</v>
      </c>
      <c r="B146" s="21" t="str">
        <f>INDEX(Data[],MATCH($A146,Data[Dist],0),MATCH(B$4,Data[#Headers],0))</f>
        <v>Hudson</v>
      </c>
      <c r="C146" s="22">
        <f>INDEX(Data[],MATCH($A146,Data[Dist],0),MATCH(C$4,Data[#Headers],0))</f>
        <v>4402248</v>
      </c>
      <c r="D146" s="22">
        <f>INDEX(Data[],MATCH($A146,Data[Dist],0),MATCH(D$4,Data[#Headers],0))</f>
        <v>464</v>
      </c>
      <c r="E146" s="22">
        <f>IF(Notes!$B$3="Pay 1 Regular State Payment Budget",0,INDEX(Data[],MATCH($A146,Data[Dist],0),MATCH(E$4,Data[#Headers],0)))</f>
        <v>16911</v>
      </c>
      <c r="F146" s="22">
        <f>IF(OR(Notes!$B$3="Pay 1 Regular State Payment Budget",Notes!$B$3="Pay 2 Regular State Payment Budget"),0,INDEX(Data[],MATCH($A146,Data[Dist],0),MATCH(F$4,Data[#Headers],0)))</f>
        <v>0</v>
      </c>
      <c r="G146" s="22">
        <f>INDEX(Data[],MATCH($A146,Data[Dist],0),MATCH(G$4,Data[#Headers],0))</f>
        <v>4384873</v>
      </c>
    </row>
    <row r="147" spans="1:7" s="21" customFormat="1" ht="12.75" x14ac:dyDescent="0.2">
      <c r="A147" s="20" t="str">
        <f>Data!B143</f>
        <v>3060</v>
      </c>
      <c r="B147" s="21" t="str">
        <f>INDEX(Data[],MATCH($A147,Data[Dist],0),MATCH(B$4,Data[#Headers],0))</f>
        <v>Humboldt</v>
      </c>
      <c r="C147" s="22">
        <f>INDEX(Data[],MATCH($A147,Data[Dist],0),MATCH(C$4,Data[#Headers],0))</f>
        <v>7071231</v>
      </c>
      <c r="D147" s="22">
        <f>INDEX(Data[],MATCH($A147,Data[Dist],0),MATCH(D$4,Data[#Headers],0))</f>
        <v>1095</v>
      </c>
      <c r="E147" s="22">
        <f>IF(Notes!$B$3="Pay 1 Regular State Payment Budget",0,INDEX(Data[],MATCH($A147,Data[Dist],0),MATCH(E$4,Data[#Headers],0)))</f>
        <v>30052</v>
      </c>
      <c r="F147" s="22">
        <f>IF(OR(Notes!$B$3="Pay 1 Regular State Payment Budget",Notes!$B$3="Pay 2 Regular State Payment Budget"),0,INDEX(Data[],MATCH($A147,Data[Dist],0),MATCH(F$4,Data[#Headers],0)))</f>
        <v>0</v>
      </c>
      <c r="G147" s="22">
        <f>INDEX(Data[],MATCH($A147,Data[Dist],0),MATCH(G$4,Data[#Headers],0))</f>
        <v>7040084</v>
      </c>
    </row>
    <row r="148" spans="1:7" s="21" customFormat="1" ht="12.75" x14ac:dyDescent="0.2">
      <c r="A148" s="20" t="str">
        <f>Data!B144</f>
        <v>3105</v>
      </c>
      <c r="B148" s="21" t="str">
        <f>INDEX(Data[],MATCH($A148,Data[Dist],0),MATCH(B$4,Data[#Headers],0))</f>
        <v>Independence</v>
      </c>
      <c r="C148" s="22">
        <f>INDEX(Data[],MATCH($A148,Data[Dist],0),MATCH(C$4,Data[#Headers],0))</f>
        <v>9088025</v>
      </c>
      <c r="D148" s="22">
        <f>INDEX(Data[],MATCH($A148,Data[Dist],0),MATCH(D$4,Data[#Headers],0))</f>
        <v>1609</v>
      </c>
      <c r="E148" s="22">
        <f>IF(Notes!$B$3="Pay 1 Regular State Payment Budget",0,INDEX(Data[],MATCH($A148,Data[Dist],0),MATCH(E$4,Data[#Headers],0)))</f>
        <v>35732</v>
      </c>
      <c r="F148" s="22">
        <f>IF(OR(Notes!$B$3="Pay 1 Regular State Payment Budget",Notes!$B$3="Pay 2 Regular State Payment Budget"),0,INDEX(Data[],MATCH($A148,Data[Dist],0),MATCH(F$4,Data[#Headers],0)))</f>
        <v>0</v>
      </c>
      <c r="G148" s="22">
        <f>INDEX(Data[],MATCH($A148,Data[Dist],0),MATCH(G$4,Data[#Headers],0))</f>
        <v>9050684</v>
      </c>
    </row>
    <row r="149" spans="1:7" s="21" customFormat="1" ht="12.75" x14ac:dyDescent="0.2">
      <c r="A149" s="20" t="str">
        <f>Data!B145</f>
        <v>3114</v>
      </c>
      <c r="B149" s="21" t="str">
        <f>INDEX(Data[],MATCH($A149,Data[Dist],0),MATCH(B$4,Data[#Headers],0))</f>
        <v>Indianola</v>
      </c>
      <c r="C149" s="22">
        <f>INDEX(Data[],MATCH($A149,Data[Dist],0),MATCH(C$4,Data[#Headers],0))</f>
        <v>21689763</v>
      </c>
      <c r="D149" s="22">
        <f>INDEX(Data[],MATCH($A149,Data[Dist],0),MATCH(D$4,Data[#Headers],0))</f>
        <v>2090</v>
      </c>
      <c r="E149" s="22">
        <f>IF(Notes!$B$3="Pay 1 Regular State Payment Budget",0,INDEX(Data[],MATCH($A149,Data[Dist],0),MATCH(E$4,Data[#Headers],0)))</f>
        <v>85455</v>
      </c>
      <c r="F149" s="22">
        <f>IF(OR(Notes!$B$3="Pay 1 Regular State Payment Budget",Notes!$B$3="Pay 2 Regular State Payment Budget"),0,INDEX(Data[],MATCH($A149,Data[Dist],0),MATCH(F$4,Data[#Headers],0)))</f>
        <v>0</v>
      </c>
      <c r="G149" s="22">
        <f>INDEX(Data[],MATCH($A149,Data[Dist],0),MATCH(G$4,Data[#Headers],0))</f>
        <v>21602218</v>
      </c>
    </row>
    <row r="150" spans="1:7" s="21" customFormat="1" ht="12.75" x14ac:dyDescent="0.2">
      <c r="A150" s="20" t="str">
        <f>Data!B146</f>
        <v>3119</v>
      </c>
      <c r="B150" s="21" t="str">
        <f>INDEX(Data[],MATCH($A150,Data[Dist],0),MATCH(B$4,Data[#Headers],0))</f>
        <v>Interstate 35</v>
      </c>
      <c r="C150" s="22">
        <f>INDEX(Data[],MATCH($A150,Data[Dist],0),MATCH(C$4,Data[#Headers],0))</f>
        <v>5452134</v>
      </c>
      <c r="D150" s="22">
        <f>INDEX(Data[],MATCH($A150,Data[Dist],0),MATCH(D$4,Data[#Headers],0))</f>
        <v>680</v>
      </c>
      <c r="E150" s="22">
        <f>IF(Notes!$B$3="Pay 1 Regular State Payment Budget",0,INDEX(Data[],MATCH($A150,Data[Dist],0),MATCH(E$4,Data[#Headers],0)))</f>
        <v>21414</v>
      </c>
      <c r="F150" s="22">
        <f>IF(OR(Notes!$B$3="Pay 1 Regular State Payment Budget",Notes!$B$3="Pay 2 Regular State Payment Budget"),0,INDEX(Data[],MATCH($A150,Data[Dist],0),MATCH(F$4,Data[#Headers],0)))</f>
        <v>0</v>
      </c>
      <c r="G150" s="22">
        <f>INDEX(Data[],MATCH($A150,Data[Dist],0),MATCH(G$4,Data[#Headers],0))</f>
        <v>5430040</v>
      </c>
    </row>
    <row r="151" spans="1:7" s="21" customFormat="1" ht="12.75" x14ac:dyDescent="0.2">
      <c r="A151" s="20" t="str">
        <f>Data!B147</f>
        <v>3141</v>
      </c>
      <c r="B151" s="21" t="str">
        <f>INDEX(Data[],MATCH($A151,Data[Dist],0),MATCH(B$4,Data[#Headers],0))</f>
        <v>Iowa City</v>
      </c>
      <c r="C151" s="22">
        <f>INDEX(Data[],MATCH($A151,Data[Dist],0),MATCH(C$4,Data[#Headers],0))</f>
        <v>75023878</v>
      </c>
      <c r="D151" s="22">
        <f>INDEX(Data[],MATCH($A151,Data[Dist],0),MATCH(D$4,Data[#Headers],0))</f>
        <v>8243</v>
      </c>
      <c r="E151" s="22">
        <f>IF(Notes!$B$3="Pay 1 Regular State Payment Budget",0,INDEX(Data[],MATCH($A151,Data[Dist],0),MATCH(E$4,Data[#Headers],0)))</f>
        <v>354637</v>
      </c>
      <c r="F151" s="22">
        <f>IF(OR(Notes!$B$3="Pay 1 Regular State Payment Budget",Notes!$B$3="Pay 2 Regular State Payment Budget"),0,INDEX(Data[],MATCH($A151,Data[Dist],0),MATCH(F$4,Data[#Headers],0)))</f>
        <v>0</v>
      </c>
      <c r="G151" s="22">
        <f>INDEX(Data[],MATCH($A151,Data[Dist],0),MATCH(G$4,Data[#Headers],0))</f>
        <v>74660998</v>
      </c>
    </row>
    <row r="152" spans="1:7" s="21" customFormat="1" ht="12.75" x14ac:dyDescent="0.2">
      <c r="A152" s="20" t="str">
        <f>Data!B148</f>
        <v>3150</v>
      </c>
      <c r="B152" s="21" t="str">
        <f>INDEX(Data[],MATCH($A152,Data[Dist],0),MATCH(B$4,Data[#Headers],0))</f>
        <v>Iowa Falls</v>
      </c>
      <c r="C152" s="22">
        <f>INDEX(Data[],MATCH($A152,Data[Dist],0),MATCH(C$4,Data[#Headers],0))</f>
        <v>6892197</v>
      </c>
      <c r="D152" s="22">
        <f>INDEX(Data[],MATCH($A152,Data[Dist],0),MATCH(D$4,Data[#Headers],0))</f>
        <v>779</v>
      </c>
      <c r="E152" s="22">
        <f>IF(Notes!$B$3="Pay 1 Regular State Payment Budget",0,INDEX(Data[],MATCH($A152,Data[Dist],0),MATCH(E$4,Data[#Headers],0)))</f>
        <v>27407</v>
      </c>
      <c r="F152" s="22">
        <f>IF(OR(Notes!$B$3="Pay 1 Regular State Payment Budget",Notes!$B$3="Pay 2 Regular State Payment Budget"),0,INDEX(Data[],MATCH($A152,Data[Dist],0),MATCH(F$4,Data[#Headers],0)))</f>
        <v>0</v>
      </c>
      <c r="G152" s="22">
        <f>INDEX(Data[],MATCH($A152,Data[Dist],0),MATCH(G$4,Data[#Headers],0))</f>
        <v>6864011</v>
      </c>
    </row>
    <row r="153" spans="1:7" s="21" customFormat="1" ht="12.75" x14ac:dyDescent="0.2">
      <c r="A153" s="20" t="str">
        <f>Data!B149</f>
        <v>3154</v>
      </c>
      <c r="B153" s="21" t="str">
        <f>INDEX(Data[],MATCH($A153,Data[Dist],0),MATCH(B$4,Data[#Headers],0))</f>
        <v>Iowa Valley</v>
      </c>
      <c r="C153" s="22">
        <f>INDEX(Data[],MATCH($A153,Data[Dist],0),MATCH(C$4,Data[#Headers],0))</f>
        <v>3405595</v>
      </c>
      <c r="D153" s="22">
        <f>INDEX(Data[],MATCH($A153,Data[Dist],0),MATCH(D$4,Data[#Headers],0))</f>
        <v>431</v>
      </c>
      <c r="E153" s="22">
        <f>IF(Notes!$B$3="Pay 1 Regular State Payment Budget",0,INDEX(Data[],MATCH($A153,Data[Dist],0),MATCH(E$4,Data[#Headers],0)))</f>
        <v>13606</v>
      </c>
      <c r="F153" s="22">
        <f>IF(OR(Notes!$B$3="Pay 1 Regular State Payment Budget",Notes!$B$3="Pay 2 Regular State Payment Budget"),0,INDEX(Data[],MATCH($A153,Data[Dist],0),MATCH(F$4,Data[#Headers],0)))</f>
        <v>0</v>
      </c>
      <c r="G153" s="22">
        <f>INDEX(Data[],MATCH($A153,Data[Dist],0),MATCH(G$4,Data[#Headers],0))</f>
        <v>3391558</v>
      </c>
    </row>
    <row r="154" spans="1:7" s="21" customFormat="1" ht="12.75" x14ac:dyDescent="0.2">
      <c r="A154" s="20" t="str">
        <f>Data!B150</f>
        <v>3168</v>
      </c>
      <c r="B154" s="21" t="str">
        <f>INDEX(Data[],MATCH($A154,Data[Dist],0),MATCH(B$4,Data[#Headers],0))</f>
        <v>IKM-Manning</v>
      </c>
      <c r="C154" s="22">
        <f>INDEX(Data[],MATCH($A154,Data[Dist],0),MATCH(C$4,Data[#Headers],0))</f>
        <v>3562028</v>
      </c>
      <c r="D154" s="22">
        <f>INDEX(Data[],MATCH($A154,Data[Dist],0),MATCH(D$4,Data[#Headers],0))</f>
        <v>713</v>
      </c>
      <c r="E154" s="22">
        <f>IF(Notes!$B$3="Pay 1 Regular State Payment Budget",0,INDEX(Data[],MATCH($A154,Data[Dist],0),MATCH(E$4,Data[#Headers],0)))</f>
        <v>16973</v>
      </c>
      <c r="F154" s="22">
        <f>IF(OR(Notes!$B$3="Pay 1 Regular State Payment Budget",Notes!$B$3="Pay 2 Regular State Payment Budget"),0,INDEX(Data[],MATCH($A154,Data[Dist],0),MATCH(F$4,Data[#Headers],0)))</f>
        <v>0</v>
      </c>
      <c r="G154" s="22">
        <f>INDEX(Data[],MATCH($A154,Data[Dist],0),MATCH(G$4,Data[#Headers],0))</f>
        <v>3544342</v>
      </c>
    </row>
    <row r="155" spans="1:7" s="21" customFormat="1" ht="12.75" x14ac:dyDescent="0.2">
      <c r="A155" s="20" t="str">
        <f>Data!B151</f>
        <v>3186</v>
      </c>
      <c r="B155" s="21" t="str">
        <f>INDEX(Data[],MATCH($A155,Data[Dist],0),MATCH(B$4,Data[#Headers],0))</f>
        <v>Janesville</v>
      </c>
      <c r="C155" s="22">
        <f>INDEX(Data[],MATCH($A155,Data[Dist],0),MATCH(C$4,Data[#Headers],0))</f>
        <v>2372677</v>
      </c>
      <c r="D155" s="22">
        <f>INDEX(Data[],MATCH($A155,Data[Dist],0),MATCH(D$4,Data[#Headers],0))</f>
        <v>531</v>
      </c>
      <c r="E155" s="22">
        <f>IF(Notes!$B$3="Pay 1 Regular State Payment Budget",0,INDEX(Data[],MATCH($A155,Data[Dist],0),MATCH(E$4,Data[#Headers],0)))</f>
        <v>10066</v>
      </c>
      <c r="F155" s="22">
        <f>IF(OR(Notes!$B$3="Pay 1 Regular State Payment Budget",Notes!$B$3="Pay 2 Regular State Payment Budget"),0,INDEX(Data[],MATCH($A155,Data[Dist],0),MATCH(F$4,Data[#Headers],0)))</f>
        <v>0</v>
      </c>
      <c r="G155" s="22">
        <f>INDEX(Data[],MATCH($A155,Data[Dist],0),MATCH(G$4,Data[#Headers],0))</f>
        <v>2362080</v>
      </c>
    </row>
    <row r="156" spans="1:7" s="21" customFormat="1" ht="12.75" x14ac:dyDescent="0.2">
      <c r="A156" s="20" t="str">
        <f>Data!B152</f>
        <v>3195</v>
      </c>
      <c r="B156" s="21" t="str">
        <f>INDEX(Data[],MATCH($A156,Data[Dist],0),MATCH(B$4,Data[#Headers],0))</f>
        <v>Greene County</v>
      </c>
      <c r="C156" s="22">
        <f>INDEX(Data[],MATCH($A156,Data[Dist],0),MATCH(C$4,Data[#Headers],0))</f>
        <v>7237841</v>
      </c>
      <c r="D156" s="22">
        <f>INDEX(Data[],MATCH($A156,Data[Dist],0),MATCH(D$4,Data[#Headers],0))</f>
        <v>1360</v>
      </c>
      <c r="E156" s="22">
        <f>IF(Notes!$B$3="Pay 1 Regular State Payment Budget",0,INDEX(Data[],MATCH($A156,Data[Dist],0),MATCH(E$4,Data[#Headers],0)))</f>
        <v>30946</v>
      </c>
      <c r="F156" s="22">
        <f>IF(OR(Notes!$B$3="Pay 1 Regular State Payment Budget",Notes!$B$3="Pay 2 Regular State Payment Budget"),0,INDEX(Data[],MATCH($A156,Data[Dist],0),MATCH(F$4,Data[#Headers],0)))</f>
        <v>0</v>
      </c>
      <c r="G156" s="22">
        <f>INDEX(Data[],MATCH($A156,Data[Dist],0),MATCH(G$4,Data[#Headers],0))</f>
        <v>7205535</v>
      </c>
    </row>
    <row r="157" spans="1:7" s="21" customFormat="1" ht="12.75" x14ac:dyDescent="0.2">
      <c r="A157" s="20" t="str">
        <f>Data!B153</f>
        <v>3204</v>
      </c>
      <c r="B157" s="21" t="str">
        <f>INDEX(Data[],MATCH($A157,Data[Dist],0),MATCH(B$4,Data[#Headers],0))</f>
        <v>Jesup</v>
      </c>
      <c r="C157" s="22">
        <f>INDEX(Data[],MATCH($A157,Data[Dist],0),MATCH(C$4,Data[#Headers],0))</f>
        <v>5239279</v>
      </c>
      <c r="D157" s="22">
        <f>INDEX(Data[],MATCH($A157,Data[Dist],0),MATCH(D$4,Data[#Headers],0))</f>
        <v>0</v>
      </c>
      <c r="E157" s="22">
        <f>IF(Notes!$B$3="Pay 1 Regular State Payment Budget",0,INDEX(Data[],MATCH($A157,Data[Dist],0),MATCH(E$4,Data[#Headers],0)))</f>
        <v>22681</v>
      </c>
      <c r="F157" s="22">
        <f>IF(OR(Notes!$B$3="Pay 1 Regular State Payment Budget",Notes!$B$3="Pay 2 Regular State Payment Budget"),0,INDEX(Data[],MATCH($A157,Data[Dist],0),MATCH(F$4,Data[#Headers],0)))</f>
        <v>0</v>
      </c>
      <c r="G157" s="22">
        <f>INDEX(Data[],MATCH($A157,Data[Dist],0),MATCH(G$4,Data[#Headers],0))</f>
        <v>5216598</v>
      </c>
    </row>
    <row r="158" spans="1:7" s="21" customFormat="1" ht="12.75" x14ac:dyDescent="0.2">
      <c r="A158" s="20" t="str">
        <f>Data!B154</f>
        <v>3231</v>
      </c>
      <c r="B158" s="21" t="str">
        <f>INDEX(Data[],MATCH($A158,Data[Dist],0),MATCH(B$4,Data[#Headers],0))</f>
        <v>Johnston</v>
      </c>
      <c r="C158" s="22">
        <f>INDEX(Data[],MATCH($A158,Data[Dist],0),MATCH(C$4,Data[#Headers],0))</f>
        <v>41347840</v>
      </c>
      <c r="D158" s="22">
        <f>INDEX(Data[],MATCH($A158,Data[Dist],0),MATCH(D$4,Data[#Headers],0))</f>
        <v>4445</v>
      </c>
      <c r="E158" s="22">
        <f>IF(Notes!$B$3="Pay 1 Regular State Payment Budget",0,INDEX(Data[],MATCH($A158,Data[Dist],0),MATCH(E$4,Data[#Headers],0)))</f>
        <v>176703</v>
      </c>
      <c r="F158" s="22">
        <f>IF(OR(Notes!$B$3="Pay 1 Regular State Payment Budget",Notes!$B$3="Pay 2 Regular State Payment Budget"),0,INDEX(Data[],MATCH($A158,Data[Dist],0),MATCH(F$4,Data[#Headers],0)))</f>
        <v>0</v>
      </c>
      <c r="G158" s="22">
        <f>INDEX(Data[],MATCH($A158,Data[Dist],0),MATCH(G$4,Data[#Headers],0))</f>
        <v>41166692</v>
      </c>
    </row>
    <row r="159" spans="1:7" s="21" customFormat="1" ht="12.75" x14ac:dyDescent="0.2">
      <c r="A159" s="20" t="str">
        <f>Data!B155</f>
        <v>3312</v>
      </c>
      <c r="B159" s="21" t="str">
        <f>INDEX(Data[],MATCH($A159,Data[Dist],0),MATCH(B$4,Data[#Headers],0))</f>
        <v>Keokuk</v>
      </c>
      <c r="C159" s="22">
        <f>INDEX(Data[],MATCH($A159,Data[Dist],0),MATCH(C$4,Data[#Headers],0))</f>
        <v>14076257</v>
      </c>
      <c r="D159" s="22">
        <f>INDEX(Data[],MATCH($A159,Data[Dist],0),MATCH(D$4,Data[#Headers],0))</f>
        <v>1659</v>
      </c>
      <c r="E159" s="22">
        <f>IF(Notes!$B$3="Pay 1 Regular State Payment Budget",0,INDEX(Data[],MATCH($A159,Data[Dist],0),MATCH(E$4,Data[#Headers],0)))</f>
        <v>47702</v>
      </c>
      <c r="F159" s="22">
        <f>IF(OR(Notes!$B$3="Pay 1 Regular State Payment Budget",Notes!$B$3="Pay 2 Regular State Payment Budget"),0,INDEX(Data[],MATCH($A159,Data[Dist],0),MATCH(F$4,Data[#Headers],0)))</f>
        <v>0</v>
      </c>
      <c r="G159" s="22">
        <f>INDEX(Data[],MATCH($A159,Data[Dist],0),MATCH(G$4,Data[#Headers],0))</f>
        <v>14026896</v>
      </c>
    </row>
    <row r="160" spans="1:7" s="21" customFormat="1" ht="12.75" x14ac:dyDescent="0.2">
      <c r="A160" s="20" t="str">
        <f>Data!B156</f>
        <v>3330</v>
      </c>
      <c r="B160" s="21" t="str">
        <f>INDEX(Data[],MATCH($A160,Data[Dist],0),MATCH(B$4,Data[#Headers],0))</f>
        <v>Keota</v>
      </c>
      <c r="C160" s="22">
        <f>INDEX(Data[],MATCH($A160,Data[Dist],0),MATCH(C$4,Data[#Headers],0))</f>
        <v>1892452</v>
      </c>
      <c r="D160" s="22">
        <f>INDEX(Data[],MATCH($A160,Data[Dist],0),MATCH(D$4,Data[#Headers],0))</f>
        <v>348</v>
      </c>
      <c r="E160" s="22">
        <f>IF(Notes!$B$3="Pay 1 Regular State Payment Budget",0,INDEX(Data[],MATCH($A160,Data[Dist],0),MATCH(E$4,Data[#Headers],0)))</f>
        <v>8525</v>
      </c>
      <c r="F160" s="22">
        <f>IF(OR(Notes!$B$3="Pay 1 Regular State Payment Budget",Notes!$B$3="Pay 2 Regular State Payment Budget"),0,INDEX(Data[],MATCH($A160,Data[Dist],0),MATCH(F$4,Data[#Headers],0)))</f>
        <v>0</v>
      </c>
      <c r="G160" s="22">
        <f>INDEX(Data[],MATCH($A160,Data[Dist],0),MATCH(G$4,Data[#Headers],0))</f>
        <v>1883579</v>
      </c>
    </row>
    <row r="161" spans="1:7" s="21" customFormat="1" ht="12.75" x14ac:dyDescent="0.2">
      <c r="A161" s="20" t="str">
        <f>Data!B157</f>
        <v>3348</v>
      </c>
      <c r="B161" s="21" t="str">
        <f>INDEX(Data[],MATCH($A161,Data[Dist],0),MATCH(B$4,Data[#Headers],0))</f>
        <v>Kingsley-Pierson</v>
      </c>
      <c r="C161" s="22">
        <f>INDEX(Data[],MATCH($A161,Data[Dist],0),MATCH(C$4,Data[#Headers],0))</f>
        <v>2600380</v>
      </c>
      <c r="D161" s="22">
        <f>INDEX(Data[],MATCH($A161,Data[Dist],0),MATCH(D$4,Data[#Headers],0))</f>
        <v>0</v>
      </c>
      <c r="E161" s="22">
        <f>IF(Notes!$B$3="Pay 1 Regular State Payment Budget",0,INDEX(Data[],MATCH($A161,Data[Dist],0),MATCH(E$4,Data[#Headers],0)))</f>
        <v>11400</v>
      </c>
      <c r="F161" s="22">
        <f>IF(OR(Notes!$B$3="Pay 1 Regular State Payment Budget",Notes!$B$3="Pay 2 Regular State Payment Budget"),0,INDEX(Data[],MATCH($A161,Data[Dist],0),MATCH(F$4,Data[#Headers],0)))</f>
        <v>0</v>
      </c>
      <c r="G161" s="22">
        <f>INDEX(Data[],MATCH($A161,Data[Dist],0),MATCH(G$4,Data[#Headers],0))</f>
        <v>2588980</v>
      </c>
    </row>
    <row r="162" spans="1:7" s="21" customFormat="1" ht="12.75" x14ac:dyDescent="0.2">
      <c r="A162" s="20" t="str">
        <f>Data!B158</f>
        <v>3375</v>
      </c>
      <c r="B162" s="21" t="str">
        <f>INDEX(Data[],MATCH($A162,Data[Dist],0),MATCH(B$4,Data[#Headers],0))</f>
        <v>Knoxville</v>
      </c>
      <c r="C162" s="22">
        <f>INDEX(Data[],MATCH($A162,Data[Dist],0),MATCH(C$4,Data[#Headers],0))</f>
        <v>12216838</v>
      </c>
      <c r="D162" s="22">
        <f>INDEX(Data[],MATCH($A162,Data[Dist],0),MATCH(D$4,Data[#Headers],0))</f>
        <v>1592</v>
      </c>
      <c r="E162" s="22">
        <f>IF(Notes!$B$3="Pay 1 Regular State Payment Budget",0,INDEX(Data[],MATCH($A162,Data[Dist],0),MATCH(E$4,Data[#Headers],0)))</f>
        <v>44060</v>
      </c>
      <c r="F162" s="22">
        <f>IF(OR(Notes!$B$3="Pay 1 Regular State Payment Budget",Notes!$B$3="Pay 2 Regular State Payment Budget"),0,INDEX(Data[],MATCH($A162,Data[Dist],0),MATCH(F$4,Data[#Headers],0)))</f>
        <v>0</v>
      </c>
      <c r="G162" s="22">
        <f>INDEX(Data[],MATCH($A162,Data[Dist],0),MATCH(G$4,Data[#Headers],0))</f>
        <v>12171186</v>
      </c>
    </row>
    <row r="163" spans="1:7" s="21" customFormat="1" ht="12.75" x14ac:dyDescent="0.2">
      <c r="A163" s="20" t="str">
        <f>Data!B159</f>
        <v>3420</v>
      </c>
      <c r="B163" s="21" t="str">
        <f>INDEX(Data[],MATCH($A163,Data[Dist],0),MATCH(B$4,Data[#Headers],0))</f>
        <v>Lake Mills</v>
      </c>
      <c r="C163" s="22">
        <f>INDEX(Data[],MATCH($A163,Data[Dist],0),MATCH(C$4,Data[#Headers],0))</f>
        <v>3580405</v>
      </c>
      <c r="D163" s="22">
        <f>INDEX(Data[],MATCH($A163,Data[Dist],0),MATCH(D$4,Data[#Headers],0))</f>
        <v>564</v>
      </c>
      <c r="E163" s="22">
        <f>IF(Notes!$B$3="Pay 1 Regular State Payment Budget",0,INDEX(Data[],MATCH($A163,Data[Dist],0),MATCH(E$4,Data[#Headers],0)))</f>
        <v>15352</v>
      </c>
      <c r="F163" s="22">
        <f>IF(OR(Notes!$B$3="Pay 1 Regular State Payment Budget",Notes!$B$3="Pay 2 Regular State Payment Budget"),0,INDEX(Data[],MATCH($A163,Data[Dist],0),MATCH(F$4,Data[#Headers],0)))</f>
        <v>0</v>
      </c>
      <c r="G163" s="22">
        <f>INDEX(Data[],MATCH($A163,Data[Dist],0),MATCH(G$4,Data[#Headers],0))</f>
        <v>3564489</v>
      </c>
    </row>
    <row r="164" spans="1:7" s="21" customFormat="1" ht="12.75" x14ac:dyDescent="0.2">
      <c r="A164" s="20" t="str">
        <f>Data!B160</f>
        <v>3465</v>
      </c>
      <c r="B164" s="21" t="str">
        <f>INDEX(Data[],MATCH($A164,Data[Dist],0),MATCH(B$4,Data[#Headers],0))</f>
        <v>Lamoni</v>
      </c>
      <c r="C164" s="22">
        <f>INDEX(Data[],MATCH($A164,Data[Dist],0),MATCH(C$4,Data[#Headers],0))</f>
        <v>2048586</v>
      </c>
      <c r="D164" s="22">
        <f>INDEX(Data[],MATCH($A164,Data[Dist],0),MATCH(D$4,Data[#Headers],0))</f>
        <v>431</v>
      </c>
      <c r="E164" s="22">
        <f>IF(Notes!$B$3="Pay 1 Regular State Payment Budget",0,INDEX(Data[],MATCH($A164,Data[Dist],0),MATCH(E$4,Data[#Headers],0)))</f>
        <v>7651</v>
      </c>
      <c r="F164" s="22">
        <f>IF(OR(Notes!$B$3="Pay 1 Regular State Payment Budget",Notes!$B$3="Pay 2 Regular State Payment Budget"),0,INDEX(Data[],MATCH($A164,Data[Dist],0),MATCH(F$4,Data[#Headers],0)))</f>
        <v>0</v>
      </c>
      <c r="G164" s="22">
        <f>INDEX(Data[],MATCH($A164,Data[Dist],0),MATCH(G$4,Data[#Headers],0))</f>
        <v>2040504</v>
      </c>
    </row>
    <row r="165" spans="1:7" s="21" customFormat="1" ht="12.75" x14ac:dyDescent="0.2">
      <c r="A165" s="20" t="str">
        <f>Data!B161</f>
        <v>3537</v>
      </c>
      <c r="B165" s="21" t="str">
        <f>INDEX(Data[],MATCH($A165,Data[Dist],0),MATCH(B$4,Data[#Headers],0))</f>
        <v>Laurens-Marathon</v>
      </c>
      <c r="C165" s="22">
        <f>INDEX(Data[],MATCH($A165,Data[Dist],0),MATCH(C$4,Data[#Headers],0))</f>
        <v>1495129</v>
      </c>
      <c r="D165" s="22">
        <f>INDEX(Data[],MATCH($A165,Data[Dist],0),MATCH(D$4,Data[#Headers],0))</f>
        <v>282</v>
      </c>
      <c r="E165" s="22">
        <f>IF(Notes!$B$3="Pay 1 Regular State Payment Budget",0,INDEX(Data[],MATCH($A165,Data[Dist],0),MATCH(E$4,Data[#Headers],0)))</f>
        <v>7019</v>
      </c>
      <c r="F165" s="22">
        <f>IF(OR(Notes!$B$3="Pay 1 Regular State Payment Budget",Notes!$B$3="Pay 2 Regular State Payment Budget"),0,INDEX(Data[],MATCH($A165,Data[Dist],0),MATCH(F$4,Data[#Headers],0)))</f>
        <v>0</v>
      </c>
      <c r="G165" s="22">
        <f>INDEX(Data[],MATCH($A165,Data[Dist],0),MATCH(G$4,Data[#Headers],0))</f>
        <v>1487828</v>
      </c>
    </row>
    <row r="166" spans="1:7" s="21" customFormat="1" ht="12.75" x14ac:dyDescent="0.2">
      <c r="A166" s="20" t="str">
        <f>Data!B162</f>
        <v>3555</v>
      </c>
      <c r="B166" s="21" t="str">
        <f>INDEX(Data[],MATCH($A166,Data[Dist],0),MATCH(B$4,Data[#Headers],0))</f>
        <v>Lawton-Bronson</v>
      </c>
      <c r="C166" s="22">
        <f>INDEX(Data[],MATCH($A166,Data[Dist],0),MATCH(C$4,Data[#Headers],0))</f>
        <v>3296813</v>
      </c>
      <c r="D166" s="22">
        <f>INDEX(Data[],MATCH($A166,Data[Dist],0),MATCH(D$4,Data[#Headers],0))</f>
        <v>614</v>
      </c>
      <c r="E166" s="22">
        <f>IF(Notes!$B$3="Pay 1 Regular State Payment Budget",0,INDEX(Data[],MATCH($A166,Data[Dist],0),MATCH(E$4,Data[#Headers],0)))</f>
        <v>14368</v>
      </c>
      <c r="F166" s="22">
        <f>IF(OR(Notes!$B$3="Pay 1 Regular State Payment Budget",Notes!$B$3="Pay 2 Regular State Payment Budget"),0,INDEX(Data[],MATCH($A166,Data[Dist],0),MATCH(F$4,Data[#Headers],0)))</f>
        <v>0</v>
      </c>
      <c r="G166" s="22">
        <f>INDEX(Data[],MATCH($A166,Data[Dist],0),MATCH(G$4,Data[#Headers],0))</f>
        <v>3281831</v>
      </c>
    </row>
    <row r="167" spans="1:7" s="21" customFormat="1" ht="12.75" x14ac:dyDescent="0.2">
      <c r="A167" s="20" t="str">
        <f>Data!B163</f>
        <v>3582</v>
      </c>
      <c r="B167" s="21" t="str">
        <f>INDEX(Data[],MATCH($A167,Data[Dist],0),MATCH(B$4,Data[#Headers],0))</f>
        <v>East Marshall</v>
      </c>
      <c r="C167" s="22">
        <f>INDEX(Data[],MATCH($A167,Data[Dist],0),MATCH(C$4,Data[#Headers],0))</f>
        <v>3092332</v>
      </c>
      <c r="D167" s="22">
        <f>INDEX(Data[],MATCH($A167,Data[Dist],0),MATCH(D$4,Data[#Headers],0))</f>
        <v>580</v>
      </c>
      <c r="E167" s="22">
        <f>IF(Notes!$B$3="Pay 1 Regular State Payment Budget",0,INDEX(Data[],MATCH($A167,Data[Dist],0),MATCH(E$4,Data[#Headers],0)))</f>
        <v>14046</v>
      </c>
      <c r="F167" s="22">
        <f>IF(OR(Notes!$B$3="Pay 1 Regular State Payment Budget",Notes!$B$3="Pay 2 Regular State Payment Budget"),0,INDEX(Data[],MATCH($A167,Data[Dist],0),MATCH(F$4,Data[#Headers],0)))</f>
        <v>0</v>
      </c>
      <c r="G167" s="22">
        <f>INDEX(Data[],MATCH($A167,Data[Dist],0),MATCH(G$4,Data[#Headers],0))</f>
        <v>3077706</v>
      </c>
    </row>
    <row r="168" spans="1:7" s="21" customFormat="1" ht="12.75" x14ac:dyDescent="0.2">
      <c r="A168" s="20" t="str">
        <f>Data!B164</f>
        <v>3600</v>
      </c>
      <c r="B168" s="21" t="str">
        <f>INDEX(Data[],MATCH($A168,Data[Dist],0),MATCH(B$4,Data[#Headers],0))</f>
        <v>Le Mars</v>
      </c>
      <c r="C168" s="22">
        <f>INDEX(Data[],MATCH($A168,Data[Dist],0),MATCH(C$4,Data[#Headers],0))</f>
        <v>12593367</v>
      </c>
      <c r="D168" s="22">
        <f>INDEX(Data[],MATCH($A168,Data[Dist],0),MATCH(D$4,Data[#Headers],0))</f>
        <v>1659</v>
      </c>
      <c r="E168" s="22">
        <f>IF(Notes!$B$3="Pay 1 Regular State Payment Budget",0,INDEX(Data[],MATCH($A168,Data[Dist],0),MATCH(E$4,Data[#Headers],0)))</f>
        <v>54561</v>
      </c>
      <c r="F168" s="22">
        <f>IF(OR(Notes!$B$3="Pay 1 Regular State Payment Budget",Notes!$B$3="Pay 2 Regular State Payment Budget"),0,INDEX(Data[],MATCH($A168,Data[Dist],0),MATCH(F$4,Data[#Headers],0)))</f>
        <v>0</v>
      </c>
      <c r="G168" s="22">
        <f>INDEX(Data[],MATCH($A168,Data[Dist],0),MATCH(G$4,Data[#Headers],0))</f>
        <v>12537147</v>
      </c>
    </row>
    <row r="169" spans="1:7" s="21" customFormat="1" ht="12.75" x14ac:dyDescent="0.2">
      <c r="A169" s="20" t="str">
        <f>Data!B165</f>
        <v>3609</v>
      </c>
      <c r="B169" s="21" t="str">
        <f>INDEX(Data[],MATCH($A169,Data[Dist],0),MATCH(B$4,Data[#Headers],0))</f>
        <v>Lenox</v>
      </c>
      <c r="C169" s="22">
        <f>INDEX(Data[],MATCH($A169,Data[Dist],0),MATCH(C$4,Data[#Headers],0))</f>
        <v>2883022</v>
      </c>
      <c r="D169" s="22">
        <f>INDEX(Data[],MATCH($A169,Data[Dist],0),MATCH(D$4,Data[#Headers],0))</f>
        <v>564</v>
      </c>
      <c r="E169" s="22">
        <f>IF(Notes!$B$3="Pay 1 Regular State Payment Budget",0,INDEX(Data[],MATCH($A169,Data[Dist],0),MATCH(E$4,Data[#Headers],0)))</f>
        <v>11503</v>
      </c>
      <c r="F169" s="22">
        <f>IF(OR(Notes!$B$3="Pay 1 Regular State Payment Budget",Notes!$B$3="Pay 2 Regular State Payment Budget"),0,INDEX(Data[],MATCH($A169,Data[Dist],0),MATCH(F$4,Data[#Headers],0)))</f>
        <v>0</v>
      </c>
      <c r="G169" s="22">
        <f>INDEX(Data[],MATCH($A169,Data[Dist],0),MATCH(G$4,Data[#Headers],0))</f>
        <v>2870955</v>
      </c>
    </row>
    <row r="170" spans="1:7" s="21" customFormat="1" ht="12.75" x14ac:dyDescent="0.2">
      <c r="A170" s="20" t="str">
        <f>Data!B166</f>
        <v>3645</v>
      </c>
      <c r="B170" s="21" t="str">
        <f>INDEX(Data[],MATCH($A170,Data[Dist],0),MATCH(B$4,Data[#Headers],0))</f>
        <v>Lewis Central</v>
      </c>
      <c r="C170" s="22">
        <f>INDEX(Data[],MATCH($A170,Data[Dist],0),MATCH(C$4,Data[#Headers],0))</f>
        <v>12265401</v>
      </c>
      <c r="D170" s="22">
        <f>INDEX(Data[],MATCH($A170,Data[Dist],0),MATCH(D$4,Data[#Headers],0))</f>
        <v>697</v>
      </c>
      <c r="E170" s="22">
        <f>IF(Notes!$B$3="Pay 1 Regular State Payment Budget",0,INDEX(Data[],MATCH($A170,Data[Dist],0),MATCH(E$4,Data[#Headers],0)))</f>
        <v>61838</v>
      </c>
      <c r="F170" s="22">
        <f>IF(OR(Notes!$B$3="Pay 1 Regular State Payment Budget",Notes!$B$3="Pay 2 Regular State Payment Budget"),0,INDEX(Data[],MATCH($A170,Data[Dist],0),MATCH(F$4,Data[#Headers],0)))</f>
        <v>238668</v>
      </c>
      <c r="G170" s="22">
        <f>INDEX(Data[],MATCH($A170,Data[Dist],0),MATCH(G$4,Data[#Headers],0))</f>
        <v>11964198</v>
      </c>
    </row>
    <row r="171" spans="1:7" s="21" customFormat="1" ht="12.75" x14ac:dyDescent="0.2">
      <c r="A171" s="20" t="str">
        <f>Data!B167</f>
        <v>3691</v>
      </c>
      <c r="B171" s="21" t="str">
        <f>INDEX(Data[],MATCH($A171,Data[Dist],0),MATCH(B$4,Data[#Headers],0))</f>
        <v>North Cedar</v>
      </c>
      <c r="C171" s="22">
        <f>INDEX(Data[],MATCH($A171,Data[Dist],0),MATCH(C$4,Data[#Headers],0))</f>
        <v>4542786</v>
      </c>
      <c r="D171" s="22">
        <f>INDEX(Data[],MATCH($A171,Data[Dist],0),MATCH(D$4,Data[#Headers],0))</f>
        <v>531</v>
      </c>
      <c r="E171" s="22">
        <f>IF(Notes!$B$3="Pay 1 Regular State Payment Budget",0,INDEX(Data[],MATCH($A171,Data[Dist],0),MATCH(E$4,Data[#Headers],0)))</f>
        <v>20358</v>
      </c>
      <c r="F171" s="22">
        <f>IF(OR(Notes!$B$3="Pay 1 Regular State Payment Budget",Notes!$B$3="Pay 2 Regular State Payment Budget"),0,INDEX(Data[],MATCH($A171,Data[Dist],0),MATCH(F$4,Data[#Headers],0)))</f>
        <v>0</v>
      </c>
      <c r="G171" s="22">
        <f>INDEX(Data[],MATCH($A171,Data[Dist],0),MATCH(G$4,Data[#Headers],0))</f>
        <v>4521897</v>
      </c>
    </row>
    <row r="172" spans="1:7" s="21" customFormat="1" ht="12.75" x14ac:dyDescent="0.2">
      <c r="A172" s="20" t="str">
        <f>Data!B168</f>
        <v>3715</v>
      </c>
      <c r="B172" s="21" t="str">
        <f>INDEX(Data[],MATCH($A172,Data[Dist],0),MATCH(B$4,Data[#Headers],0))</f>
        <v>Linn-Mar</v>
      </c>
      <c r="C172" s="22">
        <f>INDEX(Data[],MATCH($A172,Data[Dist],0),MATCH(C$4,Data[#Headers],0))</f>
        <v>44471111</v>
      </c>
      <c r="D172" s="22">
        <f>INDEX(Data[],MATCH($A172,Data[Dist],0),MATCH(D$4,Data[#Headers],0))</f>
        <v>3881</v>
      </c>
      <c r="E172" s="22">
        <f>IF(Notes!$B$3="Pay 1 Regular State Payment Budget",0,INDEX(Data[],MATCH($A172,Data[Dist],0),MATCH(E$4,Data[#Headers],0)))</f>
        <v>185748</v>
      </c>
      <c r="F172" s="22">
        <f>IF(OR(Notes!$B$3="Pay 1 Regular State Payment Budget",Notes!$B$3="Pay 2 Regular State Payment Budget"),0,INDEX(Data[],MATCH($A172,Data[Dist],0),MATCH(F$4,Data[#Headers],0)))</f>
        <v>0</v>
      </c>
      <c r="G172" s="22">
        <f>INDEX(Data[],MATCH($A172,Data[Dist],0),MATCH(G$4,Data[#Headers],0))</f>
        <v>44281482</v>
      </c>
    </row>
    <row r="173" spans="1:7" s="21" customFormat="1" ht="12.75" x14ac:dyDescent="0.2">
      <c r="A173" s="20" t="str">
        <f>Data!B169</f>
        <v>3744</v>
      </c>
      <c r="B173" s="21" t="str">
        <f>INDEX(Data[],MATCH($A173,Data[Dist],0),MATCH(B$4,Data[#Headers],0))</f>
        <v>Lisbon</v>
      </c>
      <c r="C173" s="22">
        <f>INDEX(Data[],MATCH($A173,Data[Dist],0),MATCH(C$4,Data[#Headers],0))</f>
        <v>3951560</v>
      </c>
      <c r="D173" s="22">
        <f>INDEX(Data[],MATCH($A173,Data[Dist],0),MATCH(D$4,Data[#Headers],0))</f>
        <v>730</v>
      </c>
      <c r="E173" s="22">
        <f>IF(Notes!$B$3="Pay 1 Regular State Payment Budget",0,INDEX(Data[],MATCH($A173,Data[Dist],0),MATCH(E$4,Data[#Headers],0)))</f>
        <v>16124</v>
      </c>
      <c r="F173" s="22">
        <f>IF(OR(Notes!$B$3="Pay 1 Regular State Payment Budget",Notes!$B$3="Pay 2 Regular State Payment Budget"),0,INDEX(Data[],MATCH($A173,Data[Dist],0),MATCH(F$4,Data[#Headers],0)))</f>
        <v>0</v>
      </c>
      <c r="G173" s="22">
        <f>INDEX(Data[],MATCH($A173,Data[Dist],0),MATCH(G$4,Data[#Headers],0))</f>
        <v>3934706</v>
      </c>
    </row>
    <row r="174" spans="1:7" s="21" customFormat="1" ht="12.75" x14ac:dyDescent="0.2">
      <c r="A174" s="20" t="str">
        <f>Data!B170</f>
        <v>3798</v>
      </c>
      <c r="B174" s="21" t="str">
        <f>INDEX(Data[],MATCH($A174,Data[Dist],0),MATCH(B$4,Data[#Headers],0))</f>
        <v>Logan-Magnolia</v>
      </c>
      <c r="C174" s="22">
        <f>INDEX(Data[],MATCH($A174,Data[Dist],0),MATCH(C$4,Data[#Headers],0))</f>
        <v>3475412</v>
      </c>
      <c r="D174" s="22">
        <f>INDEX(Data[],MATCH($A174,Data[Dist],0),MATCH(D$4,Data[#Headers],0))</f>
        <v>614</v>
      </c>
      <c r="E174" s="22">
        <f>IF(Notes!$B$3="Pay 1 Regular State Payment Budget",0,INDEX(Data[],MATCH($A174,Data[Dist],0),MATCH(E$4,Data[#Headers],0)))</f>
        <v>14088</v>
      </c>
      <c r="F174" s="22">
        <f>IF(OR(Notes!$B$3="Pay 1 Regular State Payment Budget",Notes!$B$3="Pay 2 Regular State Payment Budget"),0,INDEX(Data[],MATCH($A174,Data[Dist],0),MATCH(F$4,Data[#Headers],0)))</f>
        <v>0</v>
      </c>
      <c r="G174" s="22">
        <f>INDEX(Data[],MATCH($A174,Data[Dist],0),MATCH(G$4,Data[#Headers],0))</f>
        <v>3460710</v>
      </c>
    </row>
    <row r="175" spans="1:7" s="21" customFormat="1" ht="12.75" x14ac:dyDescent="0.2">
      <c r="A175" s="20" t="str">
        <f>Data!B171</f>
        <v>3816</v>
      </c>
      <c r="B175" s="21" t="str">
        <f>INDEX(Data[],MATCH($A175,Data[Dist],0),MATCH(B$4,Data[#Headers],0))</f>
        <v>Lone Tree</v>
      </c>
      <c r="C175" s="22">
        <f>INDEX(Data[],MATCH($A175,Data[Dist],0),MATCH(C$4,Data[#Headers],0))</f>
        <v>2042226</v>
      </c>
      <c r="D175" s="22">
        <f>INDEX(Data[],MATCH($A175,Data[Dist],0),MATCH(D$4,Data[#Headers],0))</f>
        <v>498</v>
      </c>
      <c r="E175" s="22">
        <f>IF(Notes!$B$3="Pay 1 Regular State Payment Budget",0,INDEX(Data[],MATCH($A175,Data[Dist],0),MATCH(E$4,Data[#Headers],0)))</f>
        <v>9145</v>
      </c>
      <c r="F175" s="22">
        <f>IF(OR(Notes!$B$3="Pay 1 Regular State Payment Budget",Notes!$B$3="Pay 2 Regular State Payment Budget"),0,INDEX(Data[],MATCH($A175,Data[Dist],0),MATCH(F$4,Data[#Headers],0)))</f>
        <v>0</v>
      </c>
      <c r="G175" s="22">
        <f>INDEX(Data[],MATCH($A175,Data[Dist],0),MATCH(G$4,Data[#Headers],0))</f>
        <v>2032583</v>
      </c>
    </row>
    <row r="176" spans="1:7" s="21" customFormat="1" ht="12.75" x14ac:dyDescent="0.2">
      <c r="A176" s="20" t="str">
        <f>Data!B172</f>
        <v>3841</v>
      </c>
      <c r="B176" s="21" t="str">
        <f>INDEX(Data[],MATCH($A176,Data[Dist],0),MATCH(B$4,Data[#Headers],0))</f>
        <v>Louisa-Muscatine</v>
      </c>
      <c r="C176" s="22">
        <f>INDEX(Data[],MATCH($A176,Data[Dist],0),MATCH(C$4,Data[#Headers],0))</f>
        <v>4524854</v>
      </c>
      <c r="D176" s="22">
        <f>INDEX(Data[],MATCH($A176,Data[Dist],0),MATCH(D$4,Data[#Headers],0))</f>
        <v>846</v>
      </c>
      <c r="E176" s="22">
        <f>IF(Notes!$B$3="Pay 1 Regular State Payment Budget",0,INDEX(Data[],MATCH($A176,Data[Dist],0),MATCH(E$4,Data[#Headers],0)))</f>
        <v>18484</v>
      </c>
      <c r="F176" s="22">
        <f>IF(OR(Notes!$B$3="Pay 1 Regular State Payment Budget",Notes!$B$3="Pay 2 Regular State Payment Budget"),0,INDEX(Data[],MATCH($A176,Data[Dist],0),MATCH(F$4,Data[#Headers],0)))</f>
        <v>0</v>
      </c>
      <c r="G176" s="22">
        <f>INDEX(Data[],MATCH($A176,Data[Dist],0),MATCH(G$4,Data[#Headers],0))</f>
        <v>4505524</v>
      </c>
    </row>
    <row r="177" spans="1:7" s="21" customFormat="1" ht="12.75" x14ac:dyDescent="0.2">
      <c r="A177" s="20" t="str">
        <f>Data!B173</f>
        <v>3897</v>
      </c>
      <c r="B177" s="21" t="str">
        <f>INDEX(Data[],MATCH($A177,Data[Dist],0),MATCH(B$4,Data[#Headers],0))</f>
        <v>Lu Verne</v>
      </c>
      <c r="C177" s="22">
        <f>INDEX(Data[],MATCH($A177,Data[Dist],0),MATCH(C$4,Data[#Headers],0))</f>
        <v>485566</v>
      </c>
      <c r="D177" s="22">
        <f>INDEX(Data[],MATCH($A177,Data[Dist],0),MATCH(D$4,Data[#Headers],0))</f>
        <v>66</v>
      </c>
      <c r="E177" s="22">
        <f>IF(Notes!$B$3="Pay 1 Regular State Payment Budget",0,INDEX(Data[],MATCH($A177,Data[Dist],0),MATCH(E$4,Data[#Headers],0)))</f>
        <v>4127</v>
      </c>
      <c r="F177" s="22">
        <f>IF(OR(Notes!$B$3="Pay 1 Regular State Payment Budget",Notes!$B$3="Pay 2 Regular State Payment Budget"),0,INDEX(Data[],MATCH($A177,Data[Dist],0),MATCH(F$4,Data[#Headers],0)))</f>
        <v>0</v>
      </c>
      <c r="G177" s="22">
        <f>INDEX(Data[],MATCH($A177,Data[Dist],0),MATCH(G$4,Data[#Headers],0))</f>
        <v>481373</v>
      </c>
    </row>
    <row r="178" spans="1:7" s="21" customFormat="1" ht="12.75" x14ac:dyDescent="0.2">
      <c r="A178" s="20" t="str">
        <f>Data!B174</f>
        <v>3906</v>
      </c>
      <c r="B178" s="21" t="str">
        <f>INDEX(Data[],MATCH($A178,Data[Dist],0),MATCH(B$4,Data[#Headers],0))</f>
        <v>Lynnville-Sully</v>
      </c>
      <c r="C178" s="22">
        <f>INDEX(Data[],MATCH($A178,Data[Dist],0),MATCH(C$4,Data[#Headers],0))</f>
        <v>2667254</v>
      </c>
      <c r="D178" s="22">
        <f>INDEX(Data[],MATCH($A178,Data[Dist],0),MATCH(D$4,Data[#Headers],0))</f>
        <v>746</v>
      </c>
      <c r="E178" s="22">
        <f>IF(Notes!$B$3="Pay 1 Regular State Payment Budget",0,INDEX(Data[],MATCH($A178,Data[Dist],0),MATCH(E$4,Data[#Headers],0)))</f>
        <v>11555</v>
      </c>
      <c r="F178" s="22">
        <f>IF(OR(Notes!$B$3="Pay 1 Regular State Payment Budget",Notes!$B$3="Pay 2 Regular State Payment Budget"),0,INDEX(Data[],MATCH($A178,Data[Dist],0),MATCH(F$4,Data[#Headers],0)))</f>
        <v>0</v>
      </c>
      <c r="G178" s="22">
        <f>INDEX(Data[],MATCH($A178,Data[Dist],0),MATCH(G$4,Data[#Headers],0))</f>
        <v>2654953</v>
      </c>
    </row>
    <row r="179" spans="1:7" s="21" customFormat="1" ht="12.75" x14ac:dyDescent="0.2">
      <c r="A179" s="20" t="str">
        <f>Data!B175</f>
        <v>3942</v>
      </c>
      <c r="B179" s="21" t="str">
        <f>INDEX(Data[],MATCH($A179,Data[Dist],0),MATCH(B$4,Data[#Headers],0))</f>
        <v>Madrid</v>
      </c>
      <c r="C179" s="22">
        <f>INDEX(Data[],MATCH($A179,Data[Dist],0),MATCH(C$4,Data[#Headers],0))</f>
        <v>4688198</v>
      </c>
      <c r="D179" s="22">
        <f>INDEX(Data[],MATCH($A179,Data[Dist],0),MATCH(D$4,Data[#Headers],0))</f>
        <v>680</v>
      </c>
      <c r="E179" s="22">
        <f>IF(Notes!$B$3="Pay 1 Regular State Payment Budget",0,INDEX(Data[],MATCH($A179,Data[Dist],0),MATCH(E$4,Data[#Headers],0)))</f>
        <v>17078</v>
      </c>
      <c r="F179" s="22">
        <f>IF(OR(Notes!$B$3="Pay 1 Regular State Payment Budget",Notes!$B$3="Pay 2 Regular State Payment Budget"),0,INDEX(Data[],MATCH($A179,Data[Dist],0),MATCH(F$4,Data[#Headers],0)))</f>
        <v>0</v>
      </c>
      <c r="G179" s="22">
        <f>INDEX(Data[],MATCH($A179,Data[Dist],0),MATCH(G$4,Data[#Headers],0))</f>
        <v>4670440</v>
      </c>
    </row>
    <row r="180" spans="1:7" s="21" customFormat="1" ht="12.75" x14ac:dyDescent="0.2">
      <c r="A180" s="20" t="str">
        <f>Data!B176</f>
        <v>3978</v>
      </c>
      <c r="B180" s="21" t="str">
        <f>INDEX(Data[],MATCH($A180,Data[Dist],0),MATCH(B$4,Data[#Headers],0))</f>
        <v>East Mills</v>
      </c>
      <c r="C180" s="22">
        <f>INDEX(Data[],MATCH($A180,Data[Dist],0),MATCH(C$4,Data[#Headers],0))</f>
        <v>2803608</v>
      </c>
      <c r="D180" s="22">
        <f>INDEX(Data[],MATCH($A180,Data[Dist],0),MATCH(D$4,Data[#Headers],0))</f>
        <v>431</v>
      </c>
      <c r="E180" s="22">
        <f>IF(Notes!$B$3="Pay 1 Regular State Payment Budget",0,INDEX(Data[],MATCH($A180,Data[Dist],0),MATCH(E$4,Data[#Headers],0)))</f>
        <v>13653</v>
      </c>
      <c r="F180" s="22">
        <f>IF(OR(Notes!$B$3="Pay 1 Regular State Payment Budget",Notes!$B$3="Pay 2 Regular State Payment Budget"),0,INDEX(Data[],MATCH($A180,Data[Dist],0),MATCH(F$4,Data[#Headers],0)))</f>
        <v>0</v>
      </c>
      <c r="G180" s="22">
        <f>INDEX(Data[],MATCH($A180,Data[Dist],0),MATCH(G$4,Data[#Headers],0))</f>
        <v>2789524</v>
      </c>
    </row>
    <row r="181" spans="1:7" s="21" customFormat="1" ht="12.75" x14ac:dyDescent="0.2">
      <c r="A181" s="20" t="str">
        <f>Data!B177</f>
        <v>4023</v>
      </c>
      <c r="B181" s="21" t="str">
        <f>INDEX(Data[],MATCH($A181,Data[Dist],0),MATCH(B$4,Data[#Headers],0))</f>
        <v>Manson-Northwest Webster</v>
      </c>
      <c r="C181" s="22">
        <f>INDEX(Data[],MATCH($A181,Data[Dist],0),MATCH(C$4,Data[#Headers],0))</f>
        <v>3164161</v>
      </c>
      <c r="D181" s="22">
        <f>INDEX(Data[],MATCH($A181,Data[Dist],0),MATCH(D$4,Data[#Headers],0))</f>
        <v>779</v>
      </c>
      <c r="E181" s="22">
        <f>IF(Notes!$B$3="Pay 1 Regular State Payment Budget",0,INDEX(Data[],MATCH($A181,Data[Dist],0),MATCH(E$4,Data[#Headers],0)))</f>
        <v>16436</v>
      </c>
      <c r="F181" s="22">
        <f>IF(OR(Notes!$B$3="Pay 1 Regular State Payment Budget",Notes!$B$3="Pay 2 Regular State Payment Budget"),0,INDEX(Data[],MATCH($A181,Data[Dist],0),MATCH(F$4,Data[#Headers],0)))</f>
        <v>0</v>
      </c>
      <c r="G181" s="22">
        <f>INDEX(Data[],MATCH($A181,Data[Dist],0),MATCH(G$4,Data[#Headers],0))</f>
        <v>3146946</v>
      </c>
    </row>
    <row r="182" spans="1:7" s="21" customFormat="1" ht="12.75" x14ac:dyDescent="0.2">
      <c r="A182" s="20" t="str">
        <f>Data!B178</f>
        <v>4033</v>
      </c>
      <c r="B182" s="21" t="str">
        <f>INDEX(Data[],MATCH($A182,Data[Dist],0),MATCH(B$4,Data[#Headers],0))</f>
        <v>Maple Valley-Anthon Oto</v>
      </c>
      <c r="C182" s="22">
        <f>INDEX(Data[],MATCH($A182,Data[Dist],0),MATCH(C$4,Data[#Headers],0))</f>
        <v>3659758</v>
      </c>
      <c r="D182" s="22">
        <f>INDEX(Data[],MATCH($A182,Data[Dist],0),MATCH(D$4,Data[#Headers],0))</f>
        <v>498</v>
      </c>
      <c r="E182" s="22">
        <f>IF(Notes!$B$3="Pay 1 Regular State Payment Budget",0,INDEX(Data[],MATCH($A182,Data[Dist],0),MATCH(E$4,Data[#Headers],0)))</f>
        <v>16351</v>
      </c>
      <c r="F182" s="22">
        <f>IF(OR(Notes!$B$3="Pay 1 Regular State Payment Budget",Notes!$B$3="Pay 2 Regular State Payment Budget"),0,INDEX(Data[],MATCH($A182,Data[Dist],0),MATCH(F$4,Data[#Headers],0)))</f>
        <v>0</v>
      </c>
      <c r="G182" s="22">
        <f>INDEX(Data[],MATCH($A182,Data[Dist],0),MATCH(G$4,Data[#Headers],0))</f>
        <v>3642909</v>
      </c>
    </row>
    <row r="183" spans="1:7" s="21" customFormat="1" ht="12.75" x14ac:dyDescent="0.2">
      <c r="A183" s="20" t="str">
        <f>Data!B179</f>
        <v>4041</v>
      </c>
      <c r="B183" s="21" t="str">
        <f>INDEX(Data[],MATCH($A183,Data[Dist],0),MATCH(B$4,Data[#Headers],0))</f>
        <v>Maquoketa</v>
      </c>
      <c r="C183" s="22">
        <f>INDEX(Data[],MATCH($A183,Data[Dist],0),MATCH(C$4,Data[#Headers],0))</f>
        <v>9139878</v>
      </c>
      <c r="D183" s="22">
        <f>INDEX(Data[],MATCH($A183,Data[Dist],0),MATCH(D$4,Data[#Headers],0))</f>
        <v>896</v>
      </c>
      <c r="E183" s="22">
        <f>IF(Notes!$B$3="Pay 1 Regular State Payment Budget",0,INDEX(Data[],MATCH($A183,Data[Dist],0),MATCH(E$4,Data[#Headers],0)))</f>
        <v>33359</v>
      </c>
      <c r="F183" s="22">
        <f>IF(OR(Notes!$B$3="Pay 1 Regular State Payment Budget",Notes!$B$3="Pay 2 Regular State Payment Budget"),0,INDEX(Data[],MATCH($A183,Data[Dist],0),MATCH(F$4,Data[#Headers],0)))</f>
        <v>0</v>
      </c>
      <c r="G183" s="22">
        <f>INDEX(Data[],MATCH($A183,Data[Dist],0),MATCH(G$4,Data[#Headers],0))</f>
        <v>9105623</v>
      </c>
    </row>
    <row r="184" spans="1:7" s="21" customFormat="1" ht="12.75" x14ac:dyDescent="0.2">
      <c r="A184" s="20" t="str">
        <f>Data!B180</f>
        <v>4043</v>
      </c>
      <c r="B184" s="21" t="str">
        <f>INDEX(Data[],MATCH($A184,Data[Dist],0),MATCH(B$4,Data[#Headers],0))</f>
        <v>Maquoketa Valley</v>
      </c>
      <c r="C184" s="22">
        <f>INDEX(Data[],MATCH($A184,Data[Dist],0),MATCH(C$4,Data[#Headers],0))</f>
        <v>3331895</v>
      </c>
      <c r="D184" s="22">
        <f>INDEX(Data[],MATCH($A184,Data[Dist],0),MATCH(D$4,Data[#Headers],0))</f>
        <v>614</v>
      </c>
      <c r="E184" s="22">
        <f>IF(Notes!$B$3="Pay 1 Regular State Payment Budget",0,INDEX(Data[],MATCH($A184,Data[Dist],0),MATCH(E$4,Data[#Headers],0)))</f>
        <v>16796</v>
      </c>
      <c r="F184" s="22">
        <f>IF(OR(Notes!$B$3="Pay 1 Regular State Payment Budget",Notes!$B$3="Pay 2 Regular State Payment Budget"),0,INDEX(Data[],MATCH($A184,Data[Dist],0),MATCH(F$4,Data[#Headers],0)))</f>
        <v>0</v>
      </c>
      <c r="G184" s="22">
        <f>INDEX(Data[],MATCH($A184,Data[Dist],0),MATCH(G$4,Data[#Headers],0))</f>
        <v>3314485</v>
      </c>
    </row>
    <row r="185" spans="1:7" s="21" customFormat="1" ht="12.75" x14ac:dyDescent="0.2">
      <c r="A185" s="20" t="str">
        <f>Data!B181</f>
        <v>4068</v>
      </c>
      <c r="B185" s="21" t="str">
        <f>INDEX(Data[],MATCH($A185,Data[Dist],0),MATCH(B$4,Data[#Headers],0))</f>
        <v>Marcus-Meriden Cleghorn</v>
      </c>
      <c r="C185" s="22">
        <f>INDEX(Data[],MATCH($A185,Data[Dist],0),MATCH(C$4,Data[#Headers],0))</f>
        <v>1730418</v>
      </c>
      <c r="D185" s="22">
        <f>INDEX(Data[],MATCH($A185,Data[Dist],0),MATCH(D$4,Data[#Headers],0))</f>
        <v>498</v>
      </c>
      <c r="E185" s="22">
        <f>IF(Notes!$B$3="Pay 1 Regular State Payment Budget",0,INDEX(Data[],MATCH($A185,Data[Dist],0),MATCH(E$4,Data[#Headers],0)))</f>
        <v>10604</v>
      </c>
      <c r="F185" s="22">
        <f>IF(OR(Notes!$B$3="Pay 1 Regular State Payment Budget",Notes!$B$3="Pay 2 Regular State Payment Budget"),0,INDEX(Data[],MATCH($A185,Data[Dist],0),MATCH(F$4,Data[#Headers],0)))</f>
        <v>0</v>
      </c>
      <c r="G185" s="22">
        <f>INDEX(Data[],MATCH($A185,Data[Dist],0),MATCH(G$4,Data[#Headers],0))</f>
        <v>1719316</v>
      </c>
    </row>
    <row r="186" spans="1:7" s="21" customFormat="1" ht="12.75" x14ac:dyDescent="0.2">
      <c r="A186" s="20" t="str">
        <f>Data!B182</f>
        <v>4086</v>
      </c>
      <c r="B186" s="21" t="str">
        <f>INDEX(Data[],MATCH($A186,Data[Dist],0),MATCH(B$4,Data[#Headers],0))</f>
        <v>Marion</v>
      </c>
      <c r="C186" s="22">
        <f>INDEX(Data[],MATCH($A186,Data[Dist],0),MATCH(C$4,Data[#Headers],0))</f>
        <v>12852498</v>
      </c>
      <c r="D186" s="22">
        <f>INDEX(Data[],MATCH($A186,Data[Dist],0),MATCH(D$4,Data[#Headers],0))</f>
        <v>1692</v>
      </c>
      <c r="E186" s="22">
        <f>IF(Notes!$B$3="Pay 1 Regular State Payment Budget",0,INDEX(Data[],MATCH($A186,Data[Dist],0),MATCH(E$4,Data[#Headers],0)))</f>
        <v>47912</v>
      </c>
      <c r="F186" s="22">
        <f>IF(OR(Notes!$B$3="Pay 1 Regular State Payment Budget",Notes!$B$3="Pay 2 Regular State Payment Budget"),0,INDEX(Data[],MATCH($A186,Data[Dist],0),MATCH(F$4,Data[#Headers],0)))</f>
        <v>0</v>
      </c>
      <c r="G186" s="22">
        <f>INDEX(Data[],MATCH($A186,Data[Dist],0),MATCH(G$4,Data[#Headers],0))</f>
        <v>12802894</v>
      </c>
    </row>
    <row r="187" spans="1:7" s="21" customFormat="1" ht="12.75" x14ac:dyDescent="0.2">
      <c r="A187" s="20" t="str">
        <f>Data!B183</f>
        <v>4104</v>
      </c>
      <c r="B187" s="21" t="str">
        <f>INDEX(Data[],MATCH($A187,Data[Dist],0),MATCH(B$4,Data[#Headers],0))</f>
        <v>Marshalltown</v>
      </c>
      <c r="C187" s="22">
        <f>INDEX(Data[],MATCH($A187,Data[Dist],0),MATCH(C$4,Data[#Headers],0))</f>
        <v>39817888</v>
      </c>
      <c r="D187" s="22">
        <f>INDEX(Data[],MATCH($A187,Data[Dist],0),MATCH(D$4,Data[#Headers],0))</f>
        <v>4163</v>
      </c>
      <c r="E187" s="22">
        <f>IF(Notes!$B$3="Pay 1 Regular State Payment Budget",0,INDEX(Data[],MATCH($A187,Data[Dist],0),MATCH(E$4,Data[#Headers],0)))</f>
        <v>136344</v>
      </c>
      <c r="F187" s="22">
        <f>IF(OR(Notes!$B$3="Pay 1 Regular State Payment Budget",Notes!$B$3="Pay 2 Regular State Payment Budget"),0,INDEX(Data[],MATCH($A187,Data[Dist],0),MATCH(F$4,Data[#Headers],0)))</f>
        <v>0</v>
      </c>
      <c r="G187" s="22">
        <f>INDEX(Data[],MATCH($A187,Data[Dist],0),MATCH(G$4,Data[#Headers],0))</f>
        <v>39677381</v>
      </c>
    </row>
    <row r="188" spans="1:7" s="21" customFormat="1" ht="12.75" x14ac:dyDescent="0.2">
      <c r="A188" s="20" t="str">
        <f>Data!B184</f>
        <v>4122</v>
      </c>
      <c r="B188" s="21" t="str">
        <f>INDEX(Data[],MATCH($A188,Data[Dist],0),MATCH(B$4,Data[#Headers],0))</f>
        <v>Martensdale-St Marys</v>
      </c>
      <c r="C188" s="22">
        <f>INDEX(Data[],MATCH($A188,Data[Dist],0),MATCH(C$4,Data[#Headers],0))</f>
        <v>3025033</v>
      </c>
      <c r="D188" s="22">
        <f>INDEX(Data[],MATCH($A188,Data[Dist],0),MATCH(D$4,Data[#Headers],0))</f>
        <v>415</v>
      </c>
      <c r="E188" s="22">
        <f>IF(Notes!$B$3="Pay 1 Regular State Payment Budget",0,INDEX(Data[],MATCH($A188,Data[Dist],0),MATCH(E$4,Data[#Headers],0)))</f>
        <v>12794</v>
      </c>
      <c r="F188" s="22">
        <f>IF(OR(Notes!$B$3="Pay 1 Regular State Payment Budget",Notes!$B$3="Pay 2 Regular State Payment Budget"),0,INDEX(Data[],MATCH($A188,Data[Dist],0),MATCH(F$4,Data[#Headers],0)))</f>
        <v>0</v>
      </c>
      <c r="G188" s="22">
        <f>INDEX(Data[],MATCH($A188,Data[Dist],0),MATCH(G$4,Data[#Headers],0))</f>
        <v>3011824</v>
      </c>
    </row>
    <row r="189" spans="1:7" s="21" customFormat="1" ht="12.75" x14ac:dyDescent="0.2">
      <c r="A189" s="20" t="str">
        <f>Data!B185</f>
        <v>4131</v>
      </c>
      <c r="B189" s="21" t="str">
        <f>INDEX(Data[],MATCH($A189,Data[Dist],0),MATCH(B$4,Data[#Headers],0))</f>
        <v>Mason City</v>
      </c>
      <c r="C189" s="22">
        <f>INDEX(Data[],MATCH($A189,Data[Dist],0),MATCH(C$4,Data[#Headers],0))</f>
        <v>22399395</v>
      </c>
      <c r="D189" s="22">
        <f>INDEX(Data[],MATCH($A189,Data[Dist],0),MATCH(D$4,Data[#Headers],0))</f>
        <v>2985</v>
      </c>
      <c r="E189" s="22">
        <f>IF(Notes!$B$3="Pay 1 Regular State Payment Budget",0,INDEX(Data[],MATCH($A189,Data[Dist],0),MATCH(E$4,Data[#Headers],0)))</f>
        <v>90908</v>
      </c>
      <c r="F189" s="22">
        <f>IF(OR(Notes!$B$3="Pay 1 Regular State Payment Budget",Notes!$B$3="Pay 2 Regular State Payment Budget"),0,INDEX(Data[],MATCH($A189,Data[Dist],0),MATCH(F$4,Data[#Headers],0)))</f>
        <v>0</v>
      </c>
      <c r="G189" s="22">
        <f>INDEX(Data[],MATCH($A189,Data[Dist],0),MATCH(G$4,Data[#Headers],0))</f>
        <v>22305502</v>
      </c>
    </row>
    <row r="190" spans="1:7" s="21" customFormat="1" ht="12.75" x14ac:dyDescent="0.2">
      <c r="A190" s="20" t="str">
        <f>Data!B186</f>
        <v>4149</v>
      </c>
      <c r="B190" s="21" t="str">
        <f>INDEX(Data[],MATCH($A190,Data[Dist],0),MATCH(B$4,Data[#Headers],0))</f>
        <v>Moc-Floyd Valley</v>
      </c>
      <c r="C190" s="22">
        <f>INDEX(Data[],MATCH($A190,Data[Dist],0),MATCH(C$4,Data[#Headers],0))</f>
        <v>7830181</v>
      </c>
      <c r="D190" s="22">
        <f>INDEX(Data[],MATCH($A190,Data[Dist],0),MATCH(D$4,Data[#Headers],0))</f>
        <v>1028</v>
      </c>
      <c r="E190" s="22">
        <f>IF(Notes!$B$3="Pay 1 Regular State Payment Budget",0,INDEX(Data[],MATCH($A190,Data[Dist],0),MATCH(E$4,Data[#Headers],0)))</f>
        <v>35882</v>
      </c>
      <c r="F190" s="22">
        <f>IF(OR(Notes!$B$3="Pay 1 Regular State Payment Budget",Notes!$B$3="Pay 2 Regular State Payment Budget"),0,INDEX(Data[],MATCH($A190,Data[Dist],0),MATCH(F$4,Data[#Headers],0)))</f>
        <v>2356</v>
      </c>
      <c r="G190" s="22">
        <f>INDEX(Data[],MATCH($A190,Data[Dist],0),MATCH(G$4,Data[#Headers],0))</f>
        <v>7790915</v>
      </c>
    </row>
    <row r="191" spans="1:7" s="21" customFormat="1" ht="12.75" x14ac:dyDescent="0.2">
      <c r="A191" s="20" t="str">
        <f>Data!B187</f>
        <v>4203</v>
      </c>
      <c r="B191" s="21" t="str">
        <f>INDEX(Data[],MATCH($A191,Data[Dist],0),MATCH(B$4,Data[#Headers],0))</f>
        <v>Mediapolis</v>
      </c>
      <c r="C191" s="22">
        <f>INDEX(Data[],MATCH($A191,Data[Dist],0),MATCH(C$4,Data[#Headers],0))</f>
        <v>4194245</v>
      </c>
      <c r="D191" s="22">
        <f>INDEX(Data[],MATCH($A191,Data[Dist],0),MATCH(D$4,Data[#Headers],0))</f>
        <v>0</v>
      </c>
      <c r="E191" s="22">
        <f>IF(Notes!$B$3="Pay 1 Regular State Payment Budget",0,INDEX(Data[],MATCH($A191,Data[Dist],0),MATCH(E$4,Data[#Headers],0)))</f>
        <v>19753</v>
      </c>
      <c r="F191" s="22">
        <f>IF(OR(Notes!$B$3="Pay 1 Regular State Payment Budget",Notes!$B$3="Pay 2 Regular State Payment Budget"),0,INDEX(Data[],MATCH($A191,Data[Dist],0),MATCH(F$4,Data[#Headers],0)))</f>
        <v>0</v>
      </c>
      <c r="G191" s="22">
        <f>INDEX(Data[],MATCH($A191,Data[Dist],0),MATCH(G$4,Data[#Headers],0))</f>
        <v>4174492</v>
      </c>
    </row>
    <row r="192" spans="1:7" s="21" customFormat="1" ht="12.75" x14ac:dyDescent="0.2">
      <c r="A192" s="20" t="str">
        <f>Data!B188</f>
        <v>4212</v>
      </c>
      <c r="B192" s="21" t="str">
        <f>INDEX(Data[],MATCH($A192,Data[Dist],0),MATCH(B$4,Data[#Headers],0))</f>
        <v>Melcher-Dallas</v>
      </c>
      <c r="C192" s="22">
        <f>INDEX(Data[],MATCH($A192,Data[Dist],0),MATCH(C$4,Data[#Headers],0))</f>
        <v>2345168</v>
      </c>
      <c r="D192" s="22">
        <f>INDEX(Data[],MATCH($A192,Data[Dist],0),MATCH(D$4,Data[#Headers],0))</f>
        <v>315</v>
      </c>
      <c r="E192" s="22">
        <f>IF(Notes!$B$3="Pay 1 Regular State Payment Budget",0,INDEX(Data[],MATCH($A192,Data[Dist],0),MATCH(E$4,Data[#Headers],0)))</f>
        <v>8295</v>
      </c>
      <c r="F192" s="22">
        <f>IF(OR(Notes!$B$3="Pay 1 Regular State Payment Budget",Notes!$B$3="Pay 2 Regular State Payment Budget"),0,INDEX(Data[],MATCH($A192,Data[Dist],0),MATCH(F$4,Data[#Headers],0)))</f>
        <v>48772</v>
      </c>
      <c r="G192" s="22">
        <f>INDEX(Data[],MATCH($A192,Data[Dist],0),MATCH(G$4,Data[#Headers],0))</f>
        <v>2287786</v>
      </c>
    </row>
    <row r="193" spans="1:7" s="21" customFormat="1" ht="12.75" x14ac:dyDescent="0.2">
      <c r="A193" s="20" t="str">
        <f>Data!B189</f>
        <v>4269</v>
      </c>
      <c r="B193" s="21" t="str">
        <f>INDEX(Data[],MATCH($A193,Data[Dist],0),MATCH(B$4,Data[#Headers],0))</f>
        <v>Midland</v>
      </c>
      <c r="C193" s="22">
        <f>INDEX(Data[],MATCH($A193,Data[Dist],0),MATCH(C$4,Data[#Headers],0))</f>
        <v>2955380</v>
      </c>
      <c r="D193" s="22">
        <f>INDEX(Data[],MATCH($A193,Data[Dist],0),MATCH(D$4,Data[#Headers],0))</f>
        <v>398</v>
      </c>
      <c r="E193" s="22">
        <f>IF(Notes!$B$3="Pay 1 Regular State Payment Budget",0,INDEX(Data[],MATCH($A193,Data[Dist],0),MATCH(E$4,Data[#Headers],0)))</f>
        <v>13366</v>
      </c>
      <c r="F193" s="22">
        <f>IF(OR(Notes!$B$3="Pay 1 Regular State Payment Budget",Notes!$B$3="Pay 2 Regular State Payment Budget"),0,INDEX(Data[],MATCH($A193,Data[Dist],0),MATCH(F$4,Data[#Headers],0)))</f>
        <v>0</v>
      </c>
      <c r="G193" s="22">
        <f>INDEX(Data[],MATCH($A193,Data[Dist],0),MATCH(G$4,Data[#Headers],0))</f>
        <v>2941616</v>
      </c>
    </row>
    <row r="194" spans="1:7" s="21" customFormat="1" ht="12.75" x14ac:dyDescent="0.2">
      <c r="A194" s="20" t="str">
        <f>Data!B190</f>
        <v>4271</v>
      </c>
      <c r="B194" s="21" t="str">
        <f>INDEX(Data[],MATCH($A194,Data[Dist],0),MATCH(B$4,Data[#Headers],0))</f>
        <v>Mid-Prairie</v>
      </c>
      <c r="C194" s="22">
        <f>INDEX(Data[],MATCH($A194,Data[Dist],0),MATCH(C$4,Data[#Headers],0))</f>
        <v>7517278</v>
      </c>
      <c r="D194" s="22">
        <f>INDEX(Data[],MATCH($A194,Data[Dist],0),MATCH(D$4,Data[#Headers],0))</f>
        <v>1592</v>
      </c>
      <c r="E194" s="22">
        <f>IF(Notes!$B$3="Pay 1 Regular State Payment Budget",0,INDEX(Data[],MATCH($A194,Data[Dist],0),MATCH(E$4,Data[#Headers],0)))</f>
        <v>31191</v>
      </c>
      <c r="F194" s="22">
        <f>IF(OR(Notes!$B$3="Pay 1 Regular State Payment Budget",Notes!$B$3="Pay 2 Regular State Payment Budget"),0,INDEX(Data[],MATCH($A194,Data[Dist],0),MATCH(F$4,Data[#Headers],0)))</f>
        <v>0</v>
      </c>
      <c r="G194" s="22">
        <f>INDEX(Data[],MATCH($A194,Data[Dist],0),MATCH(G$4,Data[#Headers],0))</f>
        <v>7484495</v>
      </c>
    </row>
    <row r="195" spans="1:7" s="21" customFormat="1" ht="12.75" x14ac:dyDescent="0.2">
      <c r="A195" s="20" t="str">
        <f>Data!B191</f>
        <v>4356</v>
      </c>
      <c r="B195" s="21" t="str">
        <f>INDEX(Data[],MATCH($A195,Data[Dist],0),MATCH(B$4,Data[#Headers],0))</f>
        <v>Missouri Valley</v>
      </c>
      <c r="C195" s="22">
        <f>INDEX(Data[],MATCH($A195,Data[Dist],0),MATCH(C$4,Data[#Headers],0))</f>
        <v>5046223</v>
      </c>
      <c r="D195" s="22">
        <f>INDEX(Data[],MATCH($A195,Data[Dist],0),MATCH(D$4,Data[#Headers],0))</f>
        <v>663</v>
      </c>
      <c r="E195" s="22">
        <f>IF(Notes!$B$3="Pay 1 Regular State Payment Budget",0,INDEX(Data[],MATCH($A195,Data[Dist],0),MATCH(E$4,Data[#Headers],0)))</f>
        <v>20792</v>
      </c>
      <c r="F195" s="22">
        <f>IF(OR(Notes!$B$3="Pay 1 Regular State Payment Budget",Notes!$B$3="Pay 2 Regular State Payment Budget"),0,INDEX(Data[],MATCH($A195,Data[Dist],0),MATCH(F$4,Data[#Headers],0)))</f>
        <v>0</v>
      </c>
      <c r="G195" s="22">
        <f>INDEX(Data[],MATCH($A195,Data[Dist],0),MATCH(G$4,Data[#Headers],0))</f>
        <v>5024768</v>
      </c>
    </row>
    <row r="196" spans="1:7" s="21" customFormat="1" ht="12.75" x14ac:dyDescent="0.2">
      <c r="A196" s="20" t="str">
        <f>Data!B192</f>
        <v>4419</v>
      </c>
      <c r="B196" s="21" t="str">
        <f>INDEX(Data[],MATCH($A196,Data[Dist],0),MATCH(B$4,Data[#Headers],0))</f>
        <v>MFL Mar Mac</v>
      </c>
      <c r="C196" s="22">
        <f>INDEX(Data[],MATCH($A196,Data[Dist],0),MATCH(C$4,Data[#Headers],0))</f>
        <v>4607685</v>
      </c>
      <c r="D196" s="22">
        <f>INDEX(Data[],MATCH($A196,Data[Dist],0),MATCH(D$4,Data[#Headers],0))</f>
        <v>746</v>
      </c>
      <c r="E196" s="22">
        <f>IF(Notes!$B$3="Pay 1 Regular State Payment Budget",0,INDEX(Data[],MATCH($A196,Data[Dist],0),MATCH(E$4,Data[#Headers],0)))</f>
        <v>18921</v>
      </c>
      <c r="F196" s="22">
        <f>IF(OR(Notes!$B$3="Pay 1 Regular State Payment Budget",Notes!$B$3="Pay 2 Regular State Payment Budget"),0,INDEX(Data[],MATCH($A196,Data[Dist],0),MATCH(F$4,Data[#Headers],0)))</f>
        <v>0</v>
      </c>
      <c r="G196" s="22">
        <f>INDEX(Data[],MATCH($A196,Data[Dist],0),MATCH(G$4,Data[#Headers],0))</f>
        <v>4588018</v>
      </c>
    </row>
    <row r="197" spans="1:7" s="21" customFormat="1" ht="12.75" x14ac:dyDescent="0.2">
      <c r="A197" s="20" t="str">
        <f>Data!B193</f>
        <v>4437</v>
      </c>
      <c r="B197" s="21" t="str">
        <f>INDEX(Data[],MATCH($A197,Data[Dist],0),MATCH(B$4,Data[#Headers],0))</f>
        <v>Montezuma</v>
      </c>
      <c r="C197" s="22">
        <f>INDEX(Data[],MATCH($A197,Data[Dist],0),MATCH(C$4,Data[#Headers],0))</f>
        <v>2308456</v>
      </c>
      <c r="D197" s="22">
        <f>INDEX(Data[],MATCH($A197,Data[Dist],0),MATCH(D$4,Data[#Headers],0))</f>
        <v>464</v>
      </c>
      <c r="E197" s="22">
        <f>IF(Notes!$B$3="Pay 1 Regular State Payment Budget",0,INDEX(Data[],MATCH($A197,Data[Dist],0),MATCH(E$4,Data[#Headers],0)))</f>
        <v>12417</v>
      </c>
      <c r="F197" s="22">
        <f>IF(OR(Notes!$B$3="Pay 1 Regular State Payment Budget",Notes!$B$3="Pay 2 Regular State Payment Budget"),0,INDEX(Data[],MATCH($A197,Data[Dist],0),MATCH(F$4,Data[#Headers],0)))</f>
        <v>0</v>
      </c>
      <c r="G197" s="22">
        <f>INDEX(Data[],MATCH($A197,Data[Dist],0),MATCH(G$4,Data[#Headers],0))</f>
        <v>2295575</v>
      </c>
    </row>
    <row r="198" spans="1:7" s="21" customFormat="1" ht="12.75" x14ac:dyDescent="0.2">
      <c r="A198" s="20" t="str">
        <f>Data!B194</f>
        <v>4446</v>
      </c>
      <c r="B198" s="21" t="str">
        <f>INDEX(Data[],MATCH($A198,Data[Dist],0),MATCH(B$4,Data[#Headers],0))</f>
        <v>Monticello</v>
      </c>
      <c r="C198" s="22">
        <f>INDEX(Data[],MATCH($A198,Data[Dist],0),MATCH(C$4,Data[#Headers],0))</f>
        <v>5922825</v>
      </c>
      <c r="D198" s="22">
        <f>INDEX(Data[],MATCH($A198,Data[Dist],0),MATCH(D$4,Data[#Headers],0))</f>
        <v>929</v>
      </c>
      <c r="E198" s="22">
        <f>IF(Notes!$B$3="Pay 1 Regular State Payment Budget",0,INDEX(Data[],MATCH($A198,Data[Dist],0),MATCH(E$4,Data[#Headers],0)))</f>
        <v>24819</v>
      </c>
      <c r="F198" s="22">
        <f>IF(OR(Notes!$B$3="Pay 1 Regular State Payment Budget",Notes!$B$3="Pay 2 Regular State Payment Budget"),0,INDEX(Data[],MATCH($A198,Data[Dist],0),MATCH(F$4,Data[#Headers],0)))</f>
        <v>0</v>
      </c>
      <c r="G198" s="22">
        <f>INDEX(Data[],MATCH($A198,Data[Dist],0),MATCH(G$4,Data[#Headers],0))</f>
        <v>5897077</v>
      </c>
    </row>
    <row r="199" spans="1:7" s="21" customFormat="1" ht="12.75" x14ac:dyDescent="0.2">
      <c r="A199" s="20" t="str">
        <f>Data!B195</f>
        <v>4491</v>
      </c>
      <c r="B199" s="21" t="str">
        <f>INDEX(Data[],MATCH($A199,Data[Dist],0),MATCH(B$4,Data[#Headers],0))</f>
        <v>Moravia</v>
      </c>
      <c r="C199" s="22">
        <f>INDEX(Data[],MATCH($A199,Data[Dist],0),MATCH(C$4,Data[#Headers],0))</f>
        <v>2256181</v>
      </c>
      <c r="D199" s="22">
        <f>INDEX(Data[],MATCH($A199,Data[Dist],0),MATCH(D$4,Data[#Headers],0))</f>
        <v>315</v>
      </c>
      <c r="E199" s="22">
        <f>IF(Notes!$B$3="Pay 1 Regular State Payment Budget",0,INDEX(Data[],MATCH($A199,Data[Dist],0),MATCH(E$4,Data[#Headers],0)))</f>
        <v>8603</v>
      </c>
      <c r="F199" s="22">
        <f>IF(OR(Notes!$B$3="Pay 1 Regular State Payment Budget",Notes!$B$3="Pay 2 Regular State Payment Budget"),0,INDEX(Data[],MATCH($A199,Data[Dist],0),MATCH(F$4,Data[#Headers],0)))</f>
        <v>0</v>
      </c>
      <c r="G199" s="22">
        <f>INDEX(Data[],MATCH($A199,Data[Dist],0),MATCH(G$4,Data[#Headers],0))</f>
        <v>2247263</v>
      </c>
    </row>
    <row r="200" spans="1:7" s="21" customFormat="1" ht="12.75" x14ac:dyDescent="0.2">
      <c r="A200" s="20" t="str">
        <f>Data!B196</f>
        <v>4505</v>
      </c>
      <c r="B200" s="21" t="str">
        <f>INDEX(Data[],MATCH($A200,Data[Dist],0),MATCH(B$4,Data[#Headers],0))</f>
        <v>Mormon Trail</v>
      </c>
      <c r="C200" s="22">
        <f>INDEX(Data[],MATCH($A200,Data[Dist],0),MATCH(C$4,Data[#Headers],0))</f>
        <v>1825300</v>
      </c>
      <c r="D200" s="22">
        <f>INDEX(Data[],MATCH($A200,Data[Dist],0),MATCH(D$4,Data[#Headers],0))</f>
        <v>249</v>
      </c>
      <c r="E200" s="22">
        <f>IF(Notes!$B$3="Pay 1 Regular State Payment Budget",0,INDEX(Data[],MATCH($A200,Data[Dist],0),MATCH(E$4,Data[#Headers],0)))</f>
        <v>6672</v>
      </c>
      <c r="F200" s="22">
        <f>IF(OR(Notes!$B$3="Pay 1 Regular State Payment Budget",Notes!$B$3="Pay 2 Regular State Payment Budget"),0,INDEX(Data[],MATCH($A200,Data[Dist],0),MATCH(F$4,Data[#Headers],0)))</f>
        <v>37591</v>
      </c>
      <c r="G200" s="22">
        <f>INDEX(Data[],MATCH($A200,Data[Dist],0),MATCH(G$4,Data[#Headers],0))</f>
        <v>1780788</v>
      </c>
    </row>
    <row r="201" spans="1:7" s="21" customFormat="1" ht="12.75" x14ac:dyDescent="0.2">
      <c r="A201" s="20" t="str">
        <f>Data!B197</f>
        <v>4509</v>
      </c>
      <c r="B201" s="21" t="str">
        <f>INDEX(Data[],MATCH($A201,Data[Dist],0),MATCH(B$4,Data[#Headers],0))</f>
        <v>Morning Sun</v>
      </c>
      <c r="C201" s="22">
        <f>INDEX(Data[],MATCH($A201,Data[Dist],0),MATCH(C$4,Data[#Headers],0))</f>
        <v>1362837</v>
      </c>
      <c r="D201" s="22">
        <f>INDEX(Data[],MATCH($A201,Data[Dist],0),MATCH(D$4,Data[#Headers],0))</f>
        <v>282</v>
      </c>
      <c r="E201" s="22">
        <f>IF(Notes!$B$3="Pay 1 Regular State Payment Budget",0,INDEX(Data[],MATCH($A201,Data[Dist],0),MATCH(E$4,Data[#Headers],0)))</f>
        <v>5226</v>
      </c>
      <c r="F201" s="22">
        <f>IF(OR(Notes!$B$3="Pay 1 Regular State Payment Budget",Notes!$B$3="Pay 2 Regular State Payment Budget"),0,INDEX(Data[],MATCH($A201,Data[Dist],0),MATCH(F$4,Data[#Headers],0)))</f>
        <v>0</v>
      </c>
      <c r="G201" s="22">
        <f>INDEX(Data[],MATCH($A201,Data[Dist],0),MATCH(G$4,Data[#Headers],0))</f>
        <v>1357329</v>
      </c>
    </row>
    <row r="202" spans="1:7" s="21" customFormat="1" ht="12.75" x14ac:dyDescent="0.2">
      <c r="A202" s="20" t="str">
        <f>Data!B198</f>
        <v>4518</v>
      </c>
      <c r="B202" s="21" t="str">
        <f>INDEX(Data[],MATCH($A202,Data[Dist],0),MATCH(B$4,Data[#Headers],0))</f>
        <v>Moulton-Udell</v>
      </c>
      <c r="C202" s="22">
        <f>INDEX(Data[],MATCH($A202,Data[Dist],0),MATCH(C$4,Data[#Headers],0))</f>
        <v>1419945</v>
      </c>
      <c r="D202" s="22">
        <f>INDEX(Data[],MATCH($A202,Data[Dist],0),MATCH(D$4,Data[#Headers],0))</f>
        <v>166</v>
      </c>
      <c r="E202" s="22">
        <f>IF(Notes!$B$3="Pay 1 Regular State Payment Budget",0,INDEX(Data[],MATCH($A202,Data[Dist],0),MATCH(E$4,Data[#Headers],0)))</f>
        <v>5243</v>
      </c>
      <c r="F202" s="22">
        <f>IF(OR(Notes!$B$3="Pay 1 Regular State Payment Budget",Notes!$B$3="Pay 2 Regular State Payment Budget"),0,INDEX(Data[],MATCH($A202,Data[Dist],0),MATCH(F$4,Data[#Headers],0)))</f>
        <v>0</v>
      </c>
      <c r="G202" s="22">
        <f>INDEX(Data[],MATCH($A202,Data[Dist],0),MATCH(G$4,Data[#Headers],0))</f>
        <v>1414536</v>
      </c>
    </row>
    <row r="203" spans="1:7" s="21" customFormat="1" ht="12.75" x14ac:dyDescent="0.2">
      <c r="A203" s="20" t="str">
        <f>Data!B199</f>
        <v>4527</v>
      </c>
      <c r="B203" s="21" t="str">
        <f>INDEX(Data[],MATCH($A203,Data[Dist],0),MATCH(B$4,Data[#Headers],0))</f>
        <v>Mount Ayr</v>
      </c>
      <c r="C203" s="22">
        <f>INDEX(Data[],MATCH($A203,Data[Dist],0),MATCH(C$4,Data[#Headers],0))</f>
        <v>3558972</v>
      </c>
      <c r="D203" s="22">
        <f>INDEX(Data[],MATCH($A203,Data[Dist],0),MATCH(D$4,Data[#Headers],0))</f>
        <v>464</v>
      </c>
      <c r="E203" s="22">
        <f>IF(Notes!$B$3="Pay 1 Regular State Payment Budget",0,INDEX(Data[],MATCH($A203,Data[Dist],0),MATCH(E$4,Data[#Headers],0)))</f>
        <v>15764</v>
      </c>
      <c r="F203" s="22">
        <f>IF(OR(Notes!$B$3="Pay 1 Regular State Payment Budget",Notes!$B$3="Pay 2 Regular State Payment Budget"),0,INDEX(Data[],MATCH($A203,Data[Dist],0),MATCH(F$4,Data[#Headers],0)))</f>
        <v>0</v>
      </c>
      <c r="G203" s="22">
        <f>INDEX(Data[],MATCH($A203,Data[Dist],0),MATCH(G$4,Data[#Headers],0))</f>
        <v>3542744</v>
      </c>
    </row>
    <row r="204" spans="1:7" s="21" customFormat="1" ht="12.75" x14ac:dyDescent="0.2">
      <c r="A204" s="20" t="str">
        <f>Data!B200</f>
        <v>4536</v>
      </c>
      <c r="B204" s="21" t="str">
        <f>INDEX(Data[],MATCH($A204,Data[Dist],0),MATCH(B$4,Data[#Headers],0))</f>
        <v>Mount Pleasant</v>
      </c>
      <c r="C204" s="22">
        <f>INDEX(Data[],MATCH($A204,Data[Dist],0),MATCH(C$4,Data[#Headers],0))</f>
        <v>12225660</v>
      </c>
      <c r="D204" s="22">
        <f>INDEX(Data[],MATCH($A204,Data[Dist],0),MATCH(D$4,Data[#Headers],0))</f>
        <v>1360</v>
      </c>
      <c r="E204" s="22">
        <f>IF(Notes!$B$3="Pay 1 Regular State Payment Budget",0,INDEX(Data[],MATCH($A204,Data[Dist],0),MATCH(E$4,Data[#Headers],0)))</f>
        <v>48292</v>
      </c>
      <c r="F204" s="22">
        <f>IF(OR(Notes!$B$3="Pay 1 Regular State Payment Budget",Notes!$B$3="Pay 2 Regular State Payment Budget"),0,INDEX(Data[],MATCH($A204,Data[Dist],0),MATCH(F$4,Data[#Headers],0)))</f>
        <v>0</v>
      </c>
      <c r="G204" s="22">
        <f>INDEX(Data[],MATCH($A204,Data[Dist],0),MATCH(G$4,Data[#Headers],0))</f>
        <v>12176008</v>
      </c>
    </row>
    <row r="205" spans="1:7" s="21" customFormat="1" ht="12.75" x14ac:dyDescent="0.2">
      <c r="A205" s="20" t="str">
        <f>Data!B201</f>
        <v>4554</v>
      </c>
      <c r="B205" s="21" t="str">
        <f>INDEX(Data[],MATCH($A205,Data[Dist],0),MATCH(B$4,Data[#Headers],0))</f>
        <v>Mount Vernon</v>
      </c>
      <c r="C205" s="22">
        <f>INDEX(Data[],MATCH($A205,Data[Dist],0),MATCH(C$4,Data[#Headers],0))</f>
        <v>6761940</v>
      </c>
      <c r="D205" s="22">
        <f>INDEX(Data[],MATCH($A205,Data[Dist],0),MATCH(D$4,Data[#Headers],0))</f>
        <v>1111</v>
      </c>
      <c r="E205" s="22">
        <f>IF(Notes!$B$3="Pay 1 Regular State Payment Budget",0,INDEX(Data[],MATCH($A205,Data[Dist],0),MATCH(E$4,Data[#Headers],0)))</f>
        <v>28076</v>
      </c>
      <c r="F205" s="22">
        <f>IF(OR(Notes!$B$3="Pay 1 Regular State Payment Budget",Notes!$B$3="Pay 2 Regular State Payment Budget"),0,INDEX(Data[],MATCH($A205,Data[Dist],0),MATCH(F$4,Data[#Headers],0)))</f>
        <v>0</v>
      </c>
      <c r="G205" s="22">
        <f>INDEX(Data[],MATCH($A205,Data[Dist],0),MATCH(G$4,Data[#Headers],0))</f>
        <v>6732753</v>
      </c>
    </row>
    <row r="206" spans="1:7" s="21" customFormat="1" ht="12.75" x14ac:dyDescent="0.2">
      <c r="A206" s="20" t="str">
        <f>Data!B202</f>
        <v>4572</v>
      </c>
      <c r="B206" s="21" t="str">
        <f>INDEX(Data[],MATCH($A206,Data[Dist],0),MATCH(B$4,Data[#Headers],0))</f>
        <v>Murray</v>
      </c>
      <c r="C206" s="22">
        <f>INDEX(Data[],MATCH($A206,Data[Dist],0),MATCH(C$4,Data[#Headers],0))</f>
        <v>1643953</v>
      </c>
      <c r="D206" s="22">
        <f>INDEX(Data[],MATCH($A206,Data[Dist],0),MATCH(D$4,Data[#Headers],0))</f>
        <v>282</v>
      </c>
      <c r="E206" s="22">
        <f>IF(Notes!$B$3="Pay 1 Regular State Payment Budget",0,INDEX(Data[],MATCH($A206,Data[Dist],0),MATCH(E$4,Data[#Headers],0)))</f>
        <v>6300</v>
      </c>
      <c r="F206" s="22">
        <f>IF(OR(Notes!$B$3="Pay 1 Regular State Payment Budget",Notes!$B$3="Pay 2 Regular State Payment Budget"),0,INDEX(Data[],MATCH($A206,Data[Dist],0),MATCH(F$4,Data[#Headers],0)))</f>
        <v>271</v>
      </c>
      <c r="G206" s="22">
        <f>INDEX(Data[],MATCH($A206,Data[Dist],0),MATCH(G$4,Data[#Headers],0))</f>
        <v>1637100</v>
      </c>
    </row>
    <row r="207" spans="1:7" s="21" customFormat="1" ht="12.75" x14ac:dyDescent="0.2">
      <c r="A207" s="20" t="str">
        <f>Data!B203</f>
        <v>4581</v>
      </c>
      <c r="B207" s="21" t="str">
        <f>INDEX(Data[],MATCH($A207,Data[Dist],0),MATCH(B$4,Data[#Headers],0))</f>
        <v>Muscatine</v>
      </c>
      <c r="C207" s="22">
        <f>INDEX(Data[],MATCH($A207,Data[Dist],0),MATCH(C$4,Data[#Headers],0))</f>
        <v>33065383</v>
      </c>
      <c r="D207" s="22">
        <f>INDEX(Data[],MATCH($A207,Data[Dist],0),MATCH(D$4,Data[#Headers],0))</f>
        <v>4378</v>
      </c>
      <c r="E207" s="22">
        <f>IF(Notes!$B$3="Pay 1 Regular State Payment Budget",0,INDEX(Data[],MATCH($A207,Data[Dist],0),MATCH(E$4,Data[#Headers],0)))</f>
        <v>123291</v>
      </c>
      <c r="F207" s="22">
        <f>IF(OR(Notes!$B$3="Pay 1 Regular State Payment Budget",Notes!$B$3="Pay 2 Regular State Payment Budget"),0,INDEX(Data[],MATCH($A207,Data[Dist],0),MATCH(F$4,Data[#Headers],0)))</f>
        <v>89190</v>
      </c>
      <c r="G207" s="22">
        <f>INDEX(Data[],MATCH($A207,Data[Dist],0),MATCH(G$4,Data[#Headers],0))</f>
        <v>32848524</v>
      </c>
    </row>
    <row r="208" spans="1:7" s="21" customFormat="1" ht="12.75" x14ac:dyDescent="0.2">
      <c r="A208" s="20" t="str">
        <f>Data!B204</f>
        <v>4599</v>
      </c>
      <c r="B208" s="21" t="str">
        <f>INDEX(Data[],MATCH($A208,Data[Dist],0),MATCH(B$4,Data[#Headers],0))</f>
        <v>Nashua-Plainfield</v>
      </c>
      <c r="C208" s="22">
        <f>INDEX(Data[],MATCH($A208,Data[Dist],0),MATCH(C$4,Data[#Headers],0))</f>
        <v>3563031</v>
      </c>
      <c r="D208" s="22">
        <f>INDEX(Data[],MATCH($A208,Data[Dist],0),MATCH(D$4,Data[#Headers],0))</f>
        <v>697</v>
      </c>
      <c r="E208" s="22">
        <f>IF(Notes!$B$3="Pay 1 Regular State Payment Budget",0,INDEX(Data[],MATCH($A208,Data[Dist],0),MATCH(E$4,Data[#Headers],0)))</f>
        <v>15307</v>
      </c>
      <c r="F208" s="22">
        <f>IF(OR(Notes!$B$3="Pay 1 Regular State Payment Budget",Notes!$B$3="Pay 2 Regular State Payment Budget"),0,INDEX(Data[],MATCH($A208,Data[Dist],0),MATCH(F$4,Data[#Headers],0)))</f>
        <v>0</v>
      </c>
      <c r="G208" s="22">
        <f>INDEX(Data[],MATCH($A208,Data[Dist],0),MATCH(G$4,Data[#Headers],0))</f>
        <v>3547027</v>
      </c>
    </row>
    <row r="209" spans="1:7" s="21" customFormat="1" ht="12.75" x14ac:dyDescent="0.2">
      <c r="A209" s="20" t="str">
        <f>Data!B205</f>
        <v>4617</v>
      </c>
      <c r="B209" s="21" t="str">
        <f>INDEX(Data[],MATCH($A209,Data[Dist],0),MATCH(B$4,Data[#Headers],0))</f>
        <v>Nevada</v>
      </c>
      <c r="C209" s="22">
        <f>INDEX(Data[],MATCH($A209,Data[Dist],0),MATCH(C$4,Data[#Headers],0))</f>
        <v>9746380</v>
      </c>
      <c r="D209" s="22">
        <f>INDEX(Data[],MATCH($A209,Data[Dist],0),MATCH(D$4,Data[#Headers],0))</f>
        <v>1377</v>
      </c>
      <c r="E209" s="22">
        <f>IF(Notes!$B$3="Pay 1 Regular State Payment Budget",0,INDEX(Data[],MATCH($A209,Data[Dist],0),MATCH(E$4,Data[#Headers],0)))</f>
        <v>37243</v>
      </c>
      <c r="F209" s="22">
        <f>IF(OR(Notes!$B$3="Pay 1 Regular State Payment Budget",Notes!$B$3="Pay 2 Regular State Payment Budget"),0,INDEX(Data[],MATCH($A209,Data[Dist],0),MATCH(F$4,Data[#Headers],0)))</f>
        <v>39350</v>
      </c>
      <c r="G209" s="22">
        <f>INDEX(Data[],MATCH($A209,Data[Dist],0),MATCH(G$4,Data[#Headers],0))</f>
        <v>9668410</v>
      </c>
    </row>
    <row r="210" spans="1:7" s="21" customFormat="1" ht="12.75" x14ac:dyDescent="0.2">
      <c r="A210" s="20" t="str">
        <f>Data!B206</f>
        <v>4644</v>
      </c>
      <c r="B210" s="21" t="str">
        <f>INDEX(Data[],MATCH($A210,Data[Dist],0),MATCH(B$4,Data[#Headers],0))</f>
        <v>Newell-Fonda</v>
      </c>
      <c r="C210" s="22">
        <f>INDEX(Data[],MATCH($A210,Data[Dist],0),MATCH(C$4,Data[#Headers],0))</f>
        <v>2284619</v>
      </c>
      <c r="D210" s="22">
        <f>INDEX(Data[],MATCH($A210,Data[Dist],0),MATCH(D$4,Data[#Headers],0))</f>
        <v>614</v>
      </c>
      <c r="E210" s="22">
        <f>IF(Notes!$B$3="Pay 1 Regular State Payment Budget",0,INDEX(Data[],MATCH($A210,Data[Dist],0),MATCH(E$4,Data[#Headers],0)))</f>
        <v>11051</v>
      </c>
      <c r="F210" s="22">
        <f>IF(OR(Notes!$B$3="Pay 1 Regular State Payment Budget",Notes!$B$3="Pay 2 Regular State Payment Budget"),0,INDEX(Data[],MATCH($A210,Data[Dist],0),MATCH(F$4,Data[#Headers],0)))</f>
        <v>0</v>
      </c>
      <c r="G210" s="22">
        <f>INDEX(Data[],MATCH($A210,Data[Dist],0),MATCH(G$4,Data[#Headers],0))</f>
        <v>2272954</v>
      </c>
    </row>
    <row r="211" spans="1:7" s="21" customFormat="1" ht="12.75" x14ac:dyDescent="0.2">
      <c r="A211" s="20" t="str">
        <f>Data!B207</f>
        <v>4662</v>
      </c>
      <c r="B211" s="21" t="str">
        <f>INDEX(Data[],MATCH($A211,Data[Dist],0),MATCH(B$4,Data[#Headers],0))</f>
        <v>New Hampton</v>
      </c>
      <c r="C211" s="22">
        <f>INDEX(Data[],MATCH($A211,Data[Dist],0),MATCH(C$4,Data[#Headers],0))</f>
        <v>5150810</v>
      </c>
      <c r="D211" s="22">
        <f>INDEX(Data[],MATCH($A211,Data[Dist],0),MATCH(D$4,Data[#Headers],0))</f>
        <v>1028</v>
      </c>
      <c r="E211" s="22">
        <f>IF(Notes!$B$3="Pay 1 Regular State Payment Budget",0,INDEX(Data[],MATCH($A211,Data[Dist],0),MATCH(E$4,Data[#Headers],0)))</f>
        <v>23970</v>
      </c>
      <c r="F211" s="22">
        <f>IF(OR(Notes!$B$3="Pay 1 Regular State Payment Budget",Notes!$B$3="Pay 2 Regular State Payment Budget"),0,INDEX(Data[],MATCH($A211,Data[Dist],0),MATCH(F$4,Data[#Headers],0)))</f>
        <v>0</v>
      </c>
      <c r="G211" s="22">
        <f>INDEX(Data[],MATCH($A211,Data[Dist],0),MATCH(G$4,Data[#Headers],0))</f>
        <v>5125812</v>
      </c>
    </row>
    <row r="212" spans="1:7" s="21" customFormat="1" ht="12.75" x14ac:dyDescent="0.2">
      <c r="A212" s="20" t="str">
        <f>Data!B208</f>
        <v>4689</v>
      </c>
      <c r="B212" s="21" t="str">
        <f>INDEX(Data[],MATCH($A212,Data[Dist],0),MATCH(B$4,Data[#Headers],0))</f>
        <v>New London</v>
      </c>
      <c r="C212" s="22">
        <f>INDEX(Data[],MATCH($A212,Data[Dist],0),MATCH(C$4,Data[#Headers],0))</f>
        <v>3249295</v>
      </c>
      <c r="D212" s="22">
        <f>INDEX(Data[],MATCH($A212,Data[Dist],0),MATCH(D$4,Data[#Headers],0))</f>
        <v>232</v>
      </c>
      <c r="E212" s="22">
        <f>IF(Notes!$B$3="Pay 1 Regular State Payment Budget",0,INDEX(Data[],MATCH($A212,Data[Dist],0),MATCH(E$4,Data[#Headers],0)))</f>
        <v>12529</v>
      </c>
      <c r="F212" s="22">
        <f>IF(OR(Notes!$B$3="Pay 1 Regular State Payment Budget",Notes!$B$3="Pay 2 Regular State Payment Budget"),0,INDEX(Data[],MATCH($A212,Data[Dist],0),MATCH(F$4,Data[#Headers],0)))</f>
        <v>11520</v>
      </c>
      <c r="G212" s="22">
        <f>INDEX(Data[],MATCH($A212,Data[Dist],0),MATCH(G$4,Data[#Headers],0))</f>
        <v>3225014</v>
      </c>
    </row>
    <row r="213" spans="1:7" s="21" customFormat="1" ht="12.75" x14ac:dyDescent="0.2">
      <c r="A213" s="20" t="str">
        <f>Data!B209</f>
        <v>4725</v>
      </c>
      <c r="B213" s="21" t="str">
        <f>INDEX(Data[],MATCH($A213,Data[Dist],0),MATCH(B$4,Data[#Headers],0))</f>
        <v>Newton</v>
      </c>
      <c r="C213" s="22">
        <f>INDEX(Data[],MATCH($A213,Data[Dist],0),MATCH(C$4,Data[#Headers],0))</f>
        <v>20624503</v>
      </c>
      <c r="D213" s="22">
        <f>INDEX(Data[],MATCH($A213,Data[Dist],0),MATCH(D$4,Data[#Headers],0))</f>
        <v>1509</v>
      </c>
      <c r="E213" s="22">
        <f>IF(Notes!$B$3="Pay 1 Regular State Payment Budget",0,INDEX(Data[],MATCH($A213,Data[Dist],0),MATCH(E$4,Data[#Headers],0)))</f>
        <v>76827</v>
      </c>
      <c r="F213" s="22">
        <f>IF(OR(Notes!$B$3="Pay 1 Regular State Payment Budget",Notes!$B$3="Pay 2 Regular State Payment Budget"),0,INDEX(Data[],MATCH($A213,Data[Dist],0),MATCH(F$4,Data[#Headers],0)))</f>
        <v>0</v>
      </c>
      <c r="G213" s="22">
        <f>INDEX(Data[],MATCH($A213,Data[Dist],0),MATCH(G$4,Data[#Headers],0))</f>
        <v>20546167</v>
      </c>
    </row>
    <row r="214" spans="1:7" s="21" customFormat="1" ht="12.75" x14ac:dyDescent="0.2">
      <c r="A214" s="20" t="str">
        <f>Data!B210</f>
        <v>4772</v>
      </c>
      <c r="B214" s="21" t="str">
        <f>INDEX(Data[],MATCH($A214,Data[Dist],0),MATCH(B$4,Data[#Headers],0))</f>
        <v>Central Springs</v>
      </c>
      <c r="C214" s="22">
        <f>INDEX(Data[],MATCH($A214,Data[Dist],0),MATCH(C$4,Data[#Headers],0))</f>
        <v>4638729</v>
      </c>
      <c r="D214" s="22">
        <f>INDEX(Data[],MATCH($A214,Data[Dist],0),MATCH(D$4,Data[#Headers],0))</f>
        <v>779</v>
      </c>
      <c r="E214" s="22">
        <f>IF(Notes!$B$3="Pay 1 Regular State Payment Budget",0,INDEX(Data[],MATCH($A214,Data[Dist],0),MATCH(E$4,Data[#Headers],0)))</f>
        <v>20358</v>
      </c>
      <c r="F214" s="22">
        <f>IF(OR(Notes!$B$3="Pay 1 Regular State Payment Budget",Notes!$B$3="Pay 2 Regular State Payment Budget"),0,INDEX(Data[],MATCH($A214,Data[Dist],0),MATCH(F$4,Data[#Headers],0)))</f>
        <v>0</v>
      </c>
      <c r="G214" s="22">
        <f>INDEX(Data[],MATCH($A214,Data[Dist],0),MATCH(G$4,Data[#Headers],0))</f>
        <v>4617592</v>
      </c>
    </row>
    <row r="215" spans="1:7" s="21" customFormat="1" ht="12.75" x14ac:dyDescent="0.2">
      <c r="A215" s="20" t="str">
        <f>Data!B211</f>
        <v>4773</v>
      </c>
      <c r="B215" s="21" t="str">
        <f>INDEX(Data[],MATCH($A215,Data[Dist],0),MATCH(B$4,Data[#Headers],0))</f>
        <v>Northeast</v>
      </c>
      <c r="C215" s="22">
        <f>INDEX(Data[],MATCH($A215,Data[Dist],0),MATCH(C$4,Data[#Headers],0))</f>
        <v>2848851</v>
      </c>
      <c r="D215" s="22">
        <f>INDEX(Data[],MATCH($A215,Data[Dist],0),MATCH(D$4,Data[#Headers],0))</f>
        <v>547</v>
      </c>
      <c r="E215" s="22">
        <f>IF(Notes!$B$3="Pay 1 Regular State Payment Budget",0,INDEX(Data[],MATCH($A215,Data[Dist],0),MATCH(E$4,Data[#Headers],0)))</f>
        <v>12897</v>
      </c>
      <c r="F215" s="22">
        <f>IF(OR(Notes!$B$3="Pay 1 Regular State Payment Budget",Notes!$B$3="Pay 2 Regular State Payment Budget"),0,INDEX(Data[],MATCH($A215,Data[Dist],0),MATCH(F$4,Data[#Headers],0)))</f>
        <v>0</v>
      </c>
      <c r="G215" s="22">
        <f>INDEX(Data[],MATCH($A215,Data[Dist],0),MATCH(G$4,Data[#Headers],0))</f>
        <v>2835407</v>
      </c>
    </row>
    <row r="216" spans="1:7" s="21" customFormat="1" ht="12.75" x14ac:dyDescent="0.2">
      <c r="A216" s="20" t="str">
        <f>Data!B212</f>
        <v>4774</v>
      </c>
      <c r="B216" s="21" t="str">
        <f>INDEX(Data[],MATCH($A216,Data[Dist],0),MATCH(B$4,Data[#Headers],0))</f>
        <v>North Fayette Valley</v>
      </c>
      <c r="C216" s="22">
        <f>INDEX(Data[],MATCH($A216,Data[Dist],0),MATCH(C$4,Data[#Headers],0))</f>
        <v>7794728</v>
      </c>
      <c r="D216" s="22">
        <f>INDEX(Data[],MATCH($A216,Data[Dist],0),MATCH(D$4,Data[#Headers],0))</f>
        <v>1144</v>
      </c>
      <c r="E216" s="22">
        <f>IF(Notes!$B$3="Pay 1 Regular State Payment Budget",0,INDEX(Data[],MATCH($A216,Data[Dist],0),MATCH(E$4,Data[#Headers],0)))</f>
        <v>28328</v>
      </c>
      <c r="F216" s="22">
        <f>IF(OR(Notes!$B$3="Pay 1 Regular State Payment Budget",Notes!$B$3="Pay 2 Regular State Payment Budget"),0,INDEX(Data[],MATCH($A216,Data[Dist],0),MATCH(F$4,Data[#Headers],0)))</f>
        <v>0</v>
      </c>
      <c r="G216" s="22">
        <f>INDEX(Data[],MATCH($A216,Data[Dist],0),MATCH(G$4,Data[#Headers],0))</f>
        <v>7765256</v>
      </c>
    </row>
    <row r="217" spans="1:7" s="21" customFormat="1" ht="12.75" x14ac:dyDescent="0.2">
      <c r="A217" s="20" t="str">
        <f>Data!B213</f>
        <v>4775</v>
      </c>
      <c r="B217" s="21" t="str">
        <f>INDEX(Data[],MATCH($A217,Data[Dist],0),MATCH(B$4,Data[#Headers],0))</f>
        <v>Northeast Hamilton</v>
      </c>
      <c r="C217" s="22">
        <f>INDEX(Data[],MATCH($A217,Data[Dist],0),MATCH(C$4,Data[#Headers],0))</f>
        <v>572425</v>
      </c>
      <c r="D217" s="22">
        <f>INDEX(Data[],MATCH($A217,Data[Dist],0),MATCH(D$4,Data[#Headers],0))</f>
        <v>100</v>
      </c>
      <c r="E217" s="22">
        <f>IF(Notes!$B$3="Pay 1 Regular State Payment Budget",0,INDEX(Data[],MATCH($A217,Data[Dist],0),MATCH(E$4,Data[#Headers],0)))</f>
        <v>4766</v>
      </c>
      <c r="F217" s="22">
        <f>IF(OR(Notes!$B$3="Pay 1 Regular State Payment Budget",Notes!$B$3="Pay 2 Regular State Payment Budget"),0,INDEX(Data[],MATCH($A217,Data[Dist],0),MATCH(F$4,Data[#Headers],0)))</f>
        <v>0</v>
      </c>
      <c r="G217" s="22">
        <f>INDEX(Data[],MATCH($A217,Data[Dist],0),MATCH(G$4,Data[#Headers],0))</f>
        <v>567559</v>
      </c>
    </row>
    <row r="218" spans="1:7" s="21" customFormat="1" ht="12.75" x14ac:dyDescent="0.2">
      <c r="A218" s="20" t="str">
        <f>Data!B214</f>
        <v>4776</v>
      </c>
      <c r="B218" s="21" t="str">
        <f>INDEX(Data[],MATCH($A218,Data[Dist],0),MATCH(B$4,Data[#Headers],0))</f>
        <v>North Mahaska</v>
      </c>
      <c r="C218" s="22">
        <f>INDEX(Data[],MATCH($A218,Data[Dist],0),MATCH(C$4,Data[#Headers],0))</f>
        <v>2664549</v>
      </c>
      <c r="D218" s="22">
        <f>INDEX(Data[],MATCH($A218,Data[Dist],0),MATCH(D$4,Data[#Headers],0))</f>
        <v>498</v>
      </c>
      <c r="E218" s="22">
        <f>IF(Notes!$B$3="Pay 1 Regular State Payment Budget",0,INDEX(Data[],MATCH($A218,Data[Dist],0),MATCH(E$4,Data[#Headers],0)))</f>
        <v>11698</v>
      </c>
      <c r="F218" s="22">
        <f>IF(OR(Notes!$B$3="Pay 1 Regular State Payment Budget",Notes!$B$3="Pay 2 Regular State Payment Budget"),0,INDEX(Data[],MATCH($A218,Data[Dist],0),MATCH(F$4,Data[#Headers],0)))</f>
        <v>0</v>
      </c>
      <c r="G218" s="22">
        <f>INDEX(Data[],MATCH($A218,Data[Dist],0),MATCH(G$4,Data[#Headers],0))</f>
        <v>2652353</v>
      </c>
    </row>
    <row r="219" spans="1:7" s="21" customFormat="1" ht="12.75" x14ac:dyDescent="0.2">
      <c r="A219" s="20" t="str">
        <f>Data!B215</f>
        <v>4777</v>
      </c>
      <c r="B219" s="21" t="str">
        <f>INDEX(Data[],MATCH($A219,Data[Dist],0),MATCH(B$4,Data[#Headers],0))</f>
        <v>North Linn</v>
      </c>
      <c r="C219" s="22">
        <f>INDEX(Data[],MATCH($A219,Data[Dist],0),MATCH(C$4,Data[#Headers],0))</f>
        <v>3449066</v>
      </c>
      <c r="D219" s="22">
        <f>INDEX(Data[],MATCH($A219,Data[Dist],0),MATCH(D$4,Data[#Headers],0))</f>
        <v>614</v>
      </c>
      <c r="E219" s="22">
        <f>IF(Notes!$B$3="Pay 1 Regular State Payment Budget",0,INDEX(Data[],MATCH($A219,Data[Dist],0),MATCH(E$4,Data[#Headers],0)))</f>
        <v>15217</v>
      </c>
      <c r="F219" s="22">
        <f>IF(OR(Notes!$B$3="Pay 1 Regular State Payment Budget",Notes!$B$3="Pay 2 Regular State Payment Budget"),0,INDEX(Data[],MATCH($A219,Data[Dist],0),MATCH(F$4,Data[#Headers],0)))</f>
        <v>0</v>
      </c>
      <c r="G219" s="22">
        <f>INDEX(Data[],MATCH($A219,Data[Dist],0),MATCH(G$4,Data[#Headers],0))</f>
        <v>3433235</v>
      </c>
    </row>
    <row r="220" spans="1:7" s="21" customFormat="1" ht="12.75" x14ac:dyDescent="0.2">
      <c r="A220" s="20" t="str">
        <f>Data!B216</f>
        <v>4778</v>
      </c>
      <c r="B220" s="21" t="str">
        <f>INDEX(Data[],MATCH($A220,Data[Dist],0),MATCH(B$4,Data[#Headers],0))</f>
        <v>North Kossuth</v>
      </c>
      <c r="C220" s="22">
        <f>INDEX(Data[],MATCH($A220,Data[Dist],0),MATCH(C$4,Data[#Headers],0))</f>
        <v>1173229</v>
      </c>
      <c r="D220" s="22">
        <f>INDEX(Data[],MATCH($A220,Data[Dist],0),MATCH(D$4,Data[#Headers],0))</f>
        <v>365</v>
      </c>
      <c r="E220" s="22">
        <f>IF(Notes!$B$3="Pay 1 Regular State Payment Budget",0,INDEX(Data[],MATCH($A220,Data[Dist],0),MATCH(E$4,Data[#Headers],0)))</f>
        <v>7039</v>
      </c>
      <c r="F220" s="22">
        <f>IF(OR(Notes!$B$3="Pay 1 Regular State Payment Budget",Notes!$B$3="Pay 2 Regular State Payment Budget"),0,INDEX(Data[],MATCH($A220,Data[Dist],0),MATCH(F$4,Data[#Headers],0)))</f>
        <v>0</v>
      </c>
      <c r="G220" s="22">
        <f>INDEX(Data[],MATCH($A220,Data[Dist],0),MATCH(G$4,Data[#Headers],0))</f>
        <v>1165825</v>
      </c>
    </row>
    <row r="221" spans="1:7" s="21" customFormat="1" ht="12.75" x14ac:dyDescent="0.2">
      <c r="A221" s="20" t="str">
        <f>Data!B217</f>
        <v>4779</v>
      </c>
      <c r="B221" s="21" t="str">
        <f>INDEX(Data[],MATCH($A221,Data[Dist],0),MATCH(B$4,Data[#Headers],0))</f>
        <v>North Polk</v>
      </c>
      <c r="C221" s="22">
        <f>INDEX(Data[],MATCH($A221,Data[Dist],0),MATCH(C$4,Data[#Headers],0))</f>
        <v>10243212</v>
      </c>
      <c r="D221" s="22">
        <f>INDEX(Data[],MATCH($A221,Data[Dist],0),MATCH(D$4,Data[#Headers],0))</f>
        <v>1758</v>
      </c>
      <c r="E221" s="22">
        <f>IF(Notes!$B$3="Pay 1 Regular State Payment Budget",0,INDEX(Data[],MATCH($A221,Data[Dist],0),MATCH(E$4,Data[#Headers],0)))</f>
        <v>42062</v>
      </c>
      <c r="F221" s="22">
        <f>IF(OR(Notes!$B$3="Pay 1 Regular State Payment Budget",Notes!$B$3="Pay 2 Regular State Payment Budget"),0,INDEX(Data[],MATCH($A221,Data[Dist],0),MATCH(F$4,Data[#Headers],0)))</f>
        <v>0</v>
      </c>
      <c r="G221" s="22">
        <f>INDEX(Data[],MATCH($A221,Data[Dist],0),MATCH(G$4,Data[#Headers],0))</f>
        <v>10199392</v>
      </c>
    </row>
    <row r="222" spans="1:7" s="21" customFormat="1" ht="12.75" x14ac:dyDescent="0.2">
      <c r="A222" s="20" t="str">
        <f>Data!B218</f>
        <v>4784</v>
      </c>
      <c r="B222" s="21" t="str">
        <f>INDEX(Data[],MATCH($A222,Data[Dist],0),MATCH(B$4,Data[#Headers],0))</f>
        <v>North Scott</v>
      </c>
      <c r="C222" s="22">
        <f>INDEX(Data[],MATCH($A222,Data[Dist],0),MATCH(C$4,Data[#Headers],0))</f>
        <v>17249251</v>
      </c>
      <c r="D222" s="22">
        <f>INDEX(Data[],MATCH($A222,Data[Dist],0),MATCH(D$4,Data[#Headers],0))</f>
        <v>2703</v>
      </c>
      <c r="E222" s="22">
        <f>IF(Notes!$B$3="Pay 1 Regular State Payment Budget",0,INDEX(Data[],MATCH($A222,Data[Dist],0),MATCH(E$4,Data[#Headers],0)))</f>
        <v>75813</v>
      </c>
      <c r="F222" s="22">
        <f>IF(OR(Notes!$B$3="Pay 1 Regular State Payment Budget",Notes!$B$3="Pay 2 Regular State Payment Budget"),0,INDEX(Data[],MATCH($A222,Data[Dist],0),MATCH(F$4,Data[#Headers],0)))</f>
        <v>0</v>
      </c>
      <c r="G222" s="22">
        <f>INDEX(Data[],MATCH($A222,Data[Dist],0),MATCH(G$4,Data[#Headers],0))</f>
        <v>17170735</v>
      </c>
    </row>
    <row r="223" spans="1:7" s="21" customFormat="1" ht="12.75" x14ac:dyDescent="0.2">
      <c r="A223" s="20" t="str">
        <f>Data!B219</f>
        <v>4785</v>
      </c>
      <c r="B223" s="21" t="str">
        <f>INDEX(Data[],MATCH($A223,Data[Dist],0),MATCH(B$4,Data[#Headers],0))</f>
        <v>North Tama</v>
      </c>
      <c r="C223" s="22">
        <f>INDEX(Data[],MATCH($A223,Data[Dist],0),MATCH(C$4,Data[#Headers],0))</f>
        <v>2488688</v>
      </c>
      <c r="D223" s="22">
        <f>INDEX(Data[],MATCH($A223,Data[Dist],0),MATCH(D$4,Data[#Headers],0))</f>
        <v>348</v>
      </c>
      <c r="E223" s="22">
        <f>IF(Notes!$B$3="Pay 1 Regular State Payment Budget",0,INDEX(Data[],MATCH($A223,Data[Dist],0),MATCH(E$4,Data[#Headers],0)))</f>
        <v>11116</v>
      </c>
      <c r="F223" s="22">
        <f>IF(OR(Notes!$B$3="Pay 1 Regular State Payment Budget",Notes!$B$3="Pay 2 Regular State Payment Budget"),0,INDEX(Data[],MATCH($A223,Data[Dist],0),MATCH(F$4,Data[#Headers],0)))</f>
        <v>0</v>
      </c>
      <c r="G223" s="22">
        <f>INDEX(Data[],MATCH($A223,Data[Dist],0),MATCH(G$4,Data[#Headers],0))</f>
        <v>2477224</v>
      </c>
    </row>
    <row r="224" spans="1:7" s="21" customFormat="1" ht="12.75" x14ac:dyDescent="0.2">
      <c r="A224" s="20" t="str">
        <f>Data!B220</f>
        <v>4787</v>
      </c>
      <c r="B224" s="21" t="str">
        <f>INDEX(Data[],MATCH($A224,Data[Dist],0),MATCH(B$4,Data[#Headers],0))</f>
        <v>North Winneshiek</v>
      </c>
      <c r="C224" s="22">
        <f>INDEX(Data[],MATCH($A224,Data[Dist],0),MATCH(C$4,Data[#Headers],0))</f>
        <v>1393127</v>
      </c>
      <c r="D224" s="22">
        <f>INDEX(Data[],MATCH($A224,Data[Dist],0),MATCH(D$4,Data[#Headers],0))</f>
        <v>133</v>
      </c>
      <c r="E224" s="22">
        <f>IF(Notes!$B$3="Pay 1 Regular State Payment Budget",0,INDEX(Data[],MATCH($A224,Data[Dist],0),MATCH(E$4,Data[#Headers],0)))</f>
        <v>6894</v>
      </c>
      <c r="F224" s="22">
        <f>IF(OR(Notes!$B$3="Pay 1 Regular State Payment Budget",Notes!$B$3="Pay 2 Regular State Payment Budget"),0,INDEX(Data[],MATCH($A224,Data[Dist],0),MATCH(F$4,Data[#Headers],0)))</f>
        <v>0</v>
      </c>
      <c r="G224" s="22">
        <f>INDEX(Data[],MATCH($A224,Data[Dist],0),MATCH(G$4,Data[#Headers],0))</f>
        <v>1386100</v>
      </c>
    </row>
    <row r="225" spans="1:7" s="21" customFormat="1" ht="12.75" x14ac:dyDescent="0.2">
      <c r="A225" s="20" t="str">
        <f>Data!B221</f>
        <v>4788</v>
      </c>
      <c r="B225" s="21" t="str">
        <f>INDEX(Data[],MATCH($A225,Data[Dist],0),MATCH(B$4,Data[#Headers],0))</f>
        <v>Northwood-Kensett</v>
      </c>
      <c r="C225" s="22">
        <f>INDEX(Data[],MATCH($A225,Data[Dist],0),MATCH(C$4,Data[#Headers],0))</f>
        <v>2761911</v>
      </c>
      <c r="D225" s="22">
        <f>INDEX(Data[],MATCH($A225,Data[Dist],0),MATCH(D$4,Data[#Headers],0))</f>
        <v>580</v>
      </c>
      <c r="E225" s="22">
        <f>IF(Notes!$B$3="Pay 1 Regular State Payment Budget",0,INDEX(Data[],MATCH($A225,Data[Dist],0),MATCH(E$4,Data[#Headers],0)))</f>
        <v>12692</v>
      </c>
      <c r="F225" s="22">
        <f>IF(OR(Notes!$B$3="Pay 1 Regular State Payment Budget",Notes!$B$3="Pay 2 Regular State Payment Budget"),0,INDEX(Data[],MATCH($A225,Data[Dist],0),MATCH(F$4,Data[#Headers],0)))</f>
        <v>0</v>
      </c>
      <c r="G225" s="22">
        <f>INDEX(Data[],MATCH($A225,Data[Dist],0),MATCH(G$4,Data[#Headers],0))</f>
        <v>2748639</v>
      </c>
    </row>
    <row r="226" spans="1:7" s="21" customFormat="1" ht="12.75" x14ac:dyDescent="0.2">
      <c r="A226" s="20" t="str">
        <f>Data!B222</f>
        <v>4797</v>
      </c>
      <c r="B226" s="21" t="str">
        <f>INDEX(Data[],MATCH($A226,Data[Dist],0),MATCH(B$4,Data[#Headers],0))</f>
        <v>Norwalk</v>
      </c>
      <c r="C226" s="22">
        <f>INDEX(Data[],MATCH($A226,Data[Dist],0),MATCH(C$4,Data[#Headers],0))</f>
        <v>19680081</v>
      </c>
      <c r="D226" s="22">
        <f>INDEX(Data[],MATCH($A226,Data[Dist],0),MATCH(D$4,Data[#Headers],0))</f>
        <v>2040</v>
      </c>
      <c r="E226" s="22">
        <f>IF(Notes!$B$3="Pay 1 Regular State Payment Budget",0,INDEX(Data[],MATCH($A226,Data[Dist],0),MATCH(E$4,Data[#Headers],0)))</f>
        <v>70720</v>
      </c>
      <c r="F226" s="22">
        <f>IF(OR(Notes!$B$3="Pay 1 Regular State Payment Budget",Notes!$B$3="Pay 2 Regular State Payment Budget"),0,INDEX(Data[],MATCH($A226,Data[Dist],0),MATCH(F$4,Data[#Headers],0)))</f>
        <v>0</v>
      </c>
      <c r="G226" s="22">
        <f>INDEX(Data[],MATCH($A226,Data[Dist],0),MATCH(G$4,Data[#Headers],0))</f>
        <v>19607321</v>
      </c>
    </row>
    <row r="227" spans="1:7" s="21" customFormat="1" ht="12.75" x14ac:dyDescent="0.2">
      <c r="A227" s="20" t="str">
        <f>Data!B223</f>
        <v>4824</v>
      </c>
      <c r="B227" s="21" t="str">
        <f>INDEX(Data[],MATCH($A227,Data[Dist],0),MATCH(B$4,Data[#Headers],0))</f>
        <v>Riverside</v>
      </c>
      <c r="C227" s="22">
        <f>INDEX(Data[],MATCH($A227,Data[Dist],0),MATCH(C$4,Data[#Headers],0))</f>
        <v>3561785</v>
      </c>
      <c r="D227" s="22">
        <f>INDEX(Data[],MATCH($A227,Data[Dist],0),MATCH(D$4,Data[#Headers],0))</f>
        <v>796</v>
      </c>
      <c r="E227" s="22">
        <f>IF(Notes!$B$3="Pay 1 Regular State Payment Budget",0,INDEX(Data[],MATCH($A227,Data[Dist],0),MATCH(E$4,Data[#Headers],0)))</f>
        <v>17260</v>
      </c>
      <c r="F227" s="22">
        <f>IF(OR(Notes!$B$3="Pay 1 Regular State Payment Budget",Notes!$B$3="Pay 2 Regular State Payment Budget"),0,INDEX(Data[],MATCH($A227,Data[Dist],0),MATCH(F$4,Data[#Headers],0)))</f>
        <v>0</v>
      </c>
      <c r="G227" s="22">
        <f>INDEX(Data[],MATCH($A227,Data[Dist],0),MATCH(G$4,Data[#Headers],0))</f>
        <v>3543729</v>
      </c>
    </row>
    <row r="228" spans="1:7" s="21" customFormat="1" ht="12.75" x14ac:dyDescent="0.2">
      <c r="A228" s="20" t="str">
        <f>Data!B224</f>
        <v>4860</v>
      </c>
      <c r="B228" s="21" t="str">
        <f>INDEX(Data[],MATCH($A228,Data[Dist],0),MATCH(B$4,Data[#Headers],0))</f>
        <v>Odebolt Arthur Battle Creek Ida Gr</v>
      </c>
      <c r="C228" s="22">
        <f>INDEX(Data[],MATCH($A228,Data[Dist],0),MATCH(C$4,Data[#Headers],0))</f>
        <v>5768821</v>
      </c>
      <c r="D228" s="22">
        <f>INDEX(Data[],MATCH($A228,Data[Dist],0),MATCH(D$4,Data[#Headers],0))</f>
        <v>896</v>
      </c>
      <c r="E228" s="22">
        <f>IF(Notes!$B$3="Pay 1 Regular State Payment Budget",0,INDEX(Data[],MATCH($A228,Data[Dist],0),MATCH(E$4,Data[#Headers],0)))</f>
        <v>24442</v>
      </c>
      <c r="F228" s="22">
        <f>IF(OR(Notes!$B$3="Pay 1 Regular State Payment Budget",Notes!$B$3="Pay 2 Regular State Payment Budget"),0,INDEX(Data[],MATCH($A228,Data[Dist],0),MATCH(F$4,Data[#Headers],0)))</f>
        <v>0</v>
      </c>
      <c r="G228" s="22">
        <f>INDEX(Data[],MATCH($A228,Data[Dist],0),MATCH(G$4,Data[#Headers],0))</f>
        <v>5743483</v>
      </c>
    </row>
    <row r="229" spans="1:7" s="21" customFormat="1" ht="12.75" x14ac:dyDescent="0.2">
      <c r="A229" s="20" t="str">
        <f>Data!B225</f>
        <v>4869</v>
      </c>
      <c r="B229" s="21" t="str">
        <f>INDEX(Data[],MATCH($A229,Data[Dist],0),MATCH(B$4,Data[#Headers],0))</f>
        <v>Oelwein</v>
      </c>
      <c r="C229" s="22">
        <f>INDEX(Data[],MATCH($A229,Data[Dist],0),MATCH(C$4,Data[#Headers],0))</f>
        <v>8865879</v>
      </c>
      <c r="D229" s="22">
        <f>INDEX(Data[],MATCH($A229,Data[Dist],0),MATCH(D$4,Data[#Headers],0))</f>
        <v>896</v>
      </c>
      <c r="E229" s="22">
        <f>IF(Notes!$B$3="Pay 1 Regular State Payment Budget",0,INDEX(Data[],MATCH($A229,Data[Dist],0),MATCH(E$4,Data[#Headers],0)))</f>
        <v>31358</v>
      </c>
      <c r="F229" s="22">
        <f>IF(OR(Notes!$B$3="Pay 1 Regular State Payment Budget",Notes!$B$3="Pay 2 Regular State Payment Budget"),0,INDEX(Data[],MATCH($A229,Data[Dist],0),MATCH(F$4,Data[#Headers],0)))</f>
        <v>0</v>
      </c>
      <c r="G229" s="22">
        <f>INDEX(Data[],MATCH($A229,Data[Dist],0),MATCH(G$4,Data[#Headers],0))</f>
        <v>8833625</v>
      </c>
    </row>
    <row r="230" spans="1:7" s="21" customFormat="1" ht="12.75" x14ac:dyDescent="0.2">
      <c r="A230" s="20" t="str">
        <f>Data!B226</f>
        <v>4878</v>
      </c>
      <c r="B230" s="21" t="str">
        <f>INDEX(Data[],MATCH($A230,Data[Dist],0),MATCH(B$4,Data[#Headers],0))</f>
        <v>Ogden</v>
      </c>
      <c r="C230" s="22">
        <f>INDEX(Data[],MATCH($A230,Data[Dist],0),MATCH(C$4,Data[#Headers],0))</f>
        <v>3507635</v>
      </c>
      <c r="D230" s="22">
        <f>INDEX(Data[],MATCH($A230,Data[Dist],0),MATCH(D$4,Data[#Headers],0))</f>
        <v>547</v>
      </c>
      <c r="E230" s="22">
        <f>IF(Notes!$B$3="Pay 1 Regular State Payment Budget",0,INDEX(Data[],MATCH($A230,Data[Dist],0),MATCH(E$4,Data[#Headers],0)))</f>
        <v>15437</v>
      </c>
      <c r="F230" s="22">
        <f>IF(OR(Notes!$B$3="Pay 1 Regular State Payment Budget",Notes!$B$3="Pay 2 Regular State Payment Budget"),0,INDEX(Data[],MATCH($A230,Data[Dist],0),MATCH(F$4,Data[#Headers],0)))</f>
        <v>0</v>
      </c>
      <c r="G230" s="22">
        <f>INDEX(Data[],MATCH($A230,Data[Dist],0),MATCH(G$4,Data[#Headers],0))</f>
        <v>3491651</v>
      </c>
    </row>
    <row r="231" spans="1:7" s="21" customFormat="1" ht="12.75" x14ac:dyDescent="0.2">
      <c r="A231" s="20" t="str">
        <f>Data!B227</f>
        <v>4890</v>
      </c>
      <c r="B231" s="21" t="str">
        <f>INDEX(Data[],MATCH($A231,Data[Dist],0),MATCH(B$4,Data[#Headers],0))</f>
        <v>Okoboji</v>
      </c>
      <c r="C231" s="22">
        <f>INDEX(Data[],MATCH($A231,Data[Dist],0),MATCH(C$4,Data[#Headers],0))</f>
        <v>204621</v>
      </c>
      <c r="D231" s="22">
        <f>INDEX(Data[],MATCH($A231,Data[Dist],0),MATCH(D$4,Data[#Headers],0))</f>
        <v>1095</v>
      </c>
      <c r="E231" s="22">
        <f>IF(Notes!$B$3="Pay 1 Regular State Payment Budget",0,INDEX(Data[],MATCH($A231,Data[Dist],0),MATCH(E$4,Data[#Headers],0)))</f>
        <v>23508</v>
      </c>
      <c r="F231" s="22">
        <f>IF(OR(Notes!$B$3="Pay 1 Regular State Payment Budget",Notes!$B$3="Pay 2 Regular State Payment Budget"),0,INDEX(Data[],MATCH($A231,Data[Dist],0),MATCH(F$4,Data[#Headers],0)))</f>
        <v>0</v>
      </c>
      <c r="G231" s="22">
        <f>INDEX(Data[],MATCH($A231,Data[Dist],0),MATCH(G$4,Data[#Headers],0))</f>
        <v>180018</v>
      </c>
    </row>
    <row r="232" spans="1:7" s="21" customFormat="1" ht="12.75" x14ac:dyDescent="0.2">
      <c r="A232" s="20" t="str">
        <f>Data!B228</f>
        <v>4905</v>
      </c>
      <c r="B232" s="21" t="str">
        <f>INDEX(Data[],MATCH($A232,Data[Dist],0),MATCH(B$4,Data[#Headers],0))</f>
        <v>Olin</v>
      </c>
      <c r="C232" s="22">
        <f>INDEX(Data[],MATCH($A232,Data[Dist],0),MATCH(C$4,Data[#Headers],0))</f>
        <v>1235025</v>
      </c>
      <c r="D232" s="22">
        <f>INDEX(Data[],MATCH($A232,Data[Dist],0),MATCH(D$4,Data[#Headers],0))</f>
        <v>133</v>
      </c>
      <c r="E232" s="22">
        <f>IF(Notes!$B$3="Pay 1 Regular State Payment Budget",0,INDEX(Data[],MATCH($A232,Data[Dist],0),MATCH(E$4,Data[#Headers],0)))</f>
        <v>5146</v>
      </c>
      <c r="F232" s="22">
        <f>IF(OR(Notes!$B$3="Pay 1 Regular State Payment Budget",Notes!$B$3="Pay 2 Regular State Payment Budget"),0,INDEX(Data[],MATCH($A232,Data[Dist],0),MATCH(F$4,Data[#Headers],0)))</f>
        <v>0</v>
      </c>
      <c r="G232" s="22">
        <f>INDEX(Data[],MATCH($A232,Data[Dist],0),MATCH(G$4,Data[#Headers],0))</f>
        <v>1229746</v>
      </c>
    </row>
    <row r="233" spans="1:7" s="21" customFormat="1" ht="12.75" x14ac:dyDescent="0.2">
      <c r="A233" s="20" t="str">
        <f>Data!B229</f>
        <v>4978</v>
      </c>
      <c r="B233" s="21" t="str">
        <f>INDEX(Data[],MATCH($A233,Data[Dist],0),MATCH(B$4,Data[#Headers],0))</f>
        <v>Orient-Macksburg</v>
      </c>
      <c r="C233" s="22">
        <f>INDEX(Data[],MATCH($A233,Data[Dist],0),MATCH(C$4,Data[#Headers],0))</f>
        <v>870550</v>
      </c>
      <c r="D233" s="22">
        <f>INDEX(Data[],MATCH($A233,Data[Dist],0),MATCH(D$4,Data[#Headers],0))</f>
        <v>166</v>
      </c>
      <c r="E233" s="22">
        <f>IF(Notes!$B$3="Pay 1 Regular State Payment Budget",0,INDEX(Data[],MATCH($A233,Data[Dist],0),MATCH(E$4,Data[#Headers],0)))</f>
        <v>4778</v>
      </c>
      <c r="F233" s="22">
        <f>IF(OR(Notes!$B$3="Pay 1 Regular State Payment Budget",Notes!$B$3="Pay 2 Regular State Payment Budget"),0,INDEX(Data[],MATCH($A233,Data[Dist],0),MATCH(F$4,Data[#Headers],0)))</f>
        <v>0</v>
      </c>
      <c r="G233" s="22">
        <f>INDEX(Data[],MATCH($A233,Data[Dist],0),MATCH(G$4,Data[#Headers],0))</f>
        <v>865606</v>
      </c>
    </row>
    <row r="234" spans="1:7" s="21" customFormat="1" ht="12.75" x14ac:dyDescent="0.2">
      <c r="A234" s="20" t="str">
        <f>Data!B230</f>
        <v>4995</v>
      </c>
      <c r="B234" s="21" t="str">
        <f>INDEX(Data[],MATCH($A234,Data[Dist],0),MATCH(B$4,Data[#Headers],0))</f>
        <v>Osage</v>
      </c>
      <c r="C234" s="22">
        <f>INDEX(Data[],MATCH($A234,Data[Dist],0),MATCH(C$4,Data[#Headers],0))</f>
        <v>5191351</v>
      </c>
      <c r="D234" s="22">
        <f>INDEX(Data[],MATCH($A234,Data[Dist],0),MATCH(D$4,Data[#Headers],0))</f>
        <v>1095</v>
      </c>
      <c r="E234" s="22">
        <f>IF(Notes!$B$3="Pay 1 Regular State Payment Budget",0,INDEX(Data[],MATCH($A234,Data[Dist],0),MATCH(E$4,Data[#Headers],0)))</f>
        <v>22466</v>
      </c>
      <c r="F234" s="22">
        <f>IF(OR(Notes!$B$3="Pay 1 Regular State Payment Budget",Notes!$B$3="Pay 2 Regular State Payment Budget"),0,INDEX(Data[],MATCH($A234,Data[Dist],0),MATCH(F$4,Data[#Headers],0)))</f>
        <v>0</v>
      </c>
      <c r="G234" s="22">
        <f>INDEX(Data[],MATCH($A234,Data[Dist],0),MATCH(G$4,Data[#Headers],0))</f>
        <v>5167790</v>
      </c>
    </row>
    <row r="235" spans="1:7" s="21" customFormat="1" ht="12.75" x14ac:dyDescent="0.2">
      <c r="A235" s="20" t="str">
        <f>Data!B231</f>
        <v>5013</v>
      </c>
      <c r="B235" s="21" t="str">
        <f>INDEX(Data[],MATCH($A235,Data[Dist],0),MATCH(B$4,Data[#Headers],0))</f>
        <v>Oskaloosa</v>
      </c>
      <c r="C235" s="22">
        <f>INDEX(Data[],MATCH($A235,Data[Dist],0),MATCH(C$4,Data[#Headers],0))</f>
        <v>15399577</v>
      </c>
      <c r="D235" s="22">
        <f>INDEX(Data[],MATCH($A235,Data[Dist],0),MATCH(D$4,Data[#Headers],0))</f>
        <v>2007</v>
      </c>
      <c r="E235" s="22">
        <f>IF(Notes!$B$3="Pay 1 Regular State Payment Budget",0,INDEX(Data[],MATCH($A235,Data[Dist],0),MATCH(E$4,Data[#Headers],0)))</f>
        <v>58983</v>
      </c>
      <c r="F235" s="22">
        <f>IF(OR(Notes!$B$3="Pay 1 Regular State Payment Budget",Notes!$B$3="Pay 2 Regular State Payment Budget"),0,INDEX(Data[],MATCH($A235,Data[Dist],0),MATCH(F$4,Data[#Headers],0)))</f>
        <v>0</v>
      </c>
      <c r="G235" s="22">
        <f>INDEX(Data[],MATCH($A235,Data[Dist],0),MATCH(G$4,Data[#Headers],0))</f>
        <v>15338587</v>
      </c>
    </row>
    <row r="236" spans="1:7" s="21" customFormat="1" ht="12.75" x14ac:dyDescent="0.2">
      <c r="A236" s="20" t="str">
        <f>Data!B232</f>
        <v>5049</v>
      </c>
      <c r="B236" s="21" t="str">
        <f>INDEX(Data[],MATCH($A236,Data[Dist],0),MATCH(B$4,Data[#Headers],0))</f>
        <v>Ottumwa</v>
      </c>
      <c r="C236" s="22">
        <f>INDEX(Data[],MATCH($A236,Data[Dist],0),MATCH(C$4,Data[#Headers],0))</f>
        <v>33303397</v>
      </c>
      <c r="D236" s="22">
        <f>INDEX(Data[],MATCH($A236,Data[Dist],0),MATCH(D$4,Data[#Headers],0))</f>
        <v>2703</v>
      </c>
      <c r="E236" s="22">
        <f>IF(Notes!$B$3="Pay 1 Regular State Payment Budget",0,INDEX(Data[],MATCH($A236,Data[Dist],0),MATCH(E$4,Data[#Headers],0)))</f>
        <v>115207</v>
      </c>
      <c r="F236" s="22">
        <f>IF(OR(Notes!$B$3="Pay 1 Regular State Payment Budget",Notes!$B$3="Pay 2 Regular State Payment Budget"),0,INDEX(Data[],MATCH($A236,Data[Dist],0),MATCH(F$4,Data[#Headers],0)))</f>
        <v>0</v>
      </c>
      <c r="G236" s="22">
        <f>INDEX(Data[],MATCH($A236,Data[Dist],0),MATCH(G$4,Data[#Headers],0))</f>
        <v>33185487</v>
      </c>
    </row>
    <row r="237" spans="1:7" s="21" customFormat="1" ht="12.75" x14ac:dyDescent="0.2">
      <c r="A237" s="20" t="str">
        <f>Data!B233</f>
        <v>5121</v>
      </c>
      <c r="B237" s="21" t="str">
        <f>INDEX(Data[],MATCH($A237,Data[Dist],0),MATCH(B$4,Data[#Headers],0))</f>
        <v>Panorama</v>
      </c>
      <c r="C237" s="22">
        <f>INDEX(Data[],MATCH($A237,Data[Dist],0),MATCH(C$4,Data[#Headers],0))</f>
        <v>3489393</v>
      </c>
      <c r="D237" s="22">
        <f>INDEX(Data[],MATCH($A237,Data[Dist],0),MATCH(D$4,Data[#Headers],0))</f>
        <v>564</v>
      </c>
      <c r="E237" s="22">
        <f>IF(Notes!$B$3="Pay 1 Regular State Payment Budget",0,INDEX(Data[],MATCH($A237,Data[Dist],0),MATCH(E$4,Data[#Headers],0)))</f>
        <v>17633</v>
      </c>
      <c r="F237" s="22">
        <f>IF(OR(Notes!$B$3="Pay 1 Regular State Payment Budget",Notes!$B$3="Pay 2 Regular State Payment Budget"),0,INDEX(Data[],MATCH($A237,Data[Dist],0),MATCH(F$4,Data[#Headers],0)))</f>
        <v>0</v>
      </c>
      <c r="G237" s="22">
        <f>INDEX(Data[],MATCH($A237,Data[Dist],0),MATCH(G$4,Data[#Headers],0))</f>
        <v>3471196</v>
      </c>
    </row>
    <row r="238" spans="1:7" s="21" customFormat="1" ht="12.75" x14ac:dyDescent="0.2">
      <c r="A238" s="20" t="str">
        <f>Data!B234</f>
        <v>5139</v>
      </c>
      <c r="B238" s="21" t="str">
        <f>INDEX(Data[],MATCH($A238,Data[Dist],0),MATCH(B$4,Data[#Headers],0))</f>
        <v>Paton-Churdan</v>
      </c>
      <c r="C238" s="22">
        <f>INDEX(Data[],MATCH($A238,Data[Dist],0),MATCH(C$4,Data[#Headers],0))</f>
        <v>1178270</v>
      </c>
      <c r="D238" s="22">
        <f>INDEX(Data[],MATCH($A238,Data[Dist],0),MATCH(D$4,Data[#Headers],0))</f>
        <v>315</v>
      </c>
      <c r="E238" s="22">
        <f>IF(Notes!$B$3="Pay 1 Regular State Payment Budget",0,INDEX(Data[],MATCH($A238,Data[Dist],0),MATCH(E$4,Data[#Headers],0)))</f>
        <v>5203</v>
      </c>
      <c r="F238" s="22">
        <f>IF(OR(Notes!$B$3="Pay 1 Regular State Payment Budget",Notes!$B$3="Pay 2 Regular State Payment Budget"),0,INDEX(Data[],MATCH($A238,Data[Dist],0),MATCH(F$4,Data[#Headers],0)))</f>
        <v>0</v>
      </c>
      <c r="G238" s="22">
        <f>INDEX(Data[],MATCH($A238,Data[Dist],0),MATCH(G$4,Data[#Headers],0))</f>
        <v>1172752</v>
      </c>
    </row>
    <row r="239" spans="1:7" s="21" customFormat="1" ht="12.75" x14ac:dyDescent="0.2">
      <c r="A239" s="20" t="str">
        <f>Data!B235</f>
        <v>5157</v>
      </c>
      <c r="B239" s="21" t="str">
        <f>INDEX(Data[],MATCH($A239,Data[Dist],0),MATCH(B$4,Data[#Headers],0))</f>
        <v>South O'Brien</v>
      </c>
      <c r="C239" s="22">
        <f>INDEX(Data[],MATCH($A239,Data[Dist],0),MATCH(C$4,Data[#Headers],0))</f>
        <v>2570494</v>
      </c>
      <c r="D239" s="22">
        <f>INDEX(Data[],MATCH($A239,Data[Dist],0),MATCH(D$4,Data[#Headers],0))</f>
        <v>514</v>
      </c>
      <c r="E239" s="22">
        <f>IF(Notes!$B$3="Pay 1 Regular State Payment Budget",0,INDEX(Data[],MATCH($A239,Data[Dist],0),MATCH(E$4,Data[#Headers],0)))</f>
        <v>14738</v>
      </c>
      <c r="F239" s="22">
        <f>IF(OR(Notes!$B$3="Pay 1 Regular State Payment Budget",Notes!$B$3="Pay 2 Regular State Payment Budget"),0,INDEX(Data[],MATCH($A239,Data[Dist],0),MATCH(F$4,Data[#Headers],0)))</f>
        <v>0</v>
      </c>
      <c r="G239" s="22">
        <f>INDEX(Data[],MATCH($A239,Data[Dist],0),MATCH(G$4,Data[#Headers],0))</f>
        <v>2555242</v>
      </c>
    </row>
    <row r="240" spans="1:7" s="21" customFormat="1" ht="12.75" x14ac:dyDescent="0.2">
      <c r="A240" s="20" t="str">
        <f>Data!B236</f>
        <v>5163</v>
      </c>
      <c r="B240" s="21" t="str">
        <f>INDEX(Data[],MATCH($A240,Data[Dist],0),MATCH(B$4,Data[#Headers],0))</f>
        <v>Pekin</v>
      </c>
      <c r="C240" s="22">
        <f>INDEX(Data[],MATCH($A240,Data[Dist],0),MATCH(C$4,Data[#Headers],0))</f>
        <v>3360837</v>
      </c>
      <c r="D240" s="22">
        <f>INDEX(Data[],MATCH($A240,Data[Dist],0),MATCH(D$4,Data[#Headers],0))</f>
        <v>697</v>
      </c>
      <c r="E240" s="22">
        <f>IF(Notes!$B$3="Pay 1 Regular State Payment Budget",0,INDEX(Data[],MATCH($A240,Data[Dist],0),MATCH(E$4,Data[#Headers],0)))</f>
        <v>14990</v>
      </c>
      <c r="F240" s="22">
        <f>IF(OR(Notes!$B$3="Pay 1 Regular State Payment Budget",Notes!$B$3="Pay 2 Regular State Payment Budget"),0,INDEX(Data[],MATCH($A240,Data[Dist],0),MATCH(F$4,Data[#Headers],0)))</f>
        <v>0</v>
      </c>
      <c r="G240" s="22">
        <f>INDEX(Data[],MATCH($A240,Data[Dist],0),MATCH(G$4,Data[#Headers],0))</f>
        <v>3345150</v>
      </c>
    </row>
    <row r="241" spans="1:7" s="21" customFormat="1" ht="12.75" x14ac:dyDescent="0.2">
      <c r="A241" s="20" t="str">
        <f>Data!B237</f>
        <v>5166</v>
      </c>
      <c r="B241" s="21" t="str">
        <f>INDEX(Data[],MATCH($A241,Data[Dist],0),MATCH(B$4,Data[#Headers],0))</f>
        <v>Pella</v>
      </c>
      <c r="C241" s="22">
        <f>INDEX(Data[],MATCH($A241,Data[Dist],0),MATCH(C$4,Data[#Headers],0))</f>
        <v>12119503</v>
      </c>
      <c r="D241" s="22">
        <f>INDEX(Data[],MATCH($A241,Data[Dist],0),MATCH(D$4,Data[#Headers],0))</f>
        <v>1675</v>
      </c>
      <c r="E241" s="22">
        <f>IF(Notes!$B$3="Pay 1 Regular State Payment Budget",0,INDEX(Data[],MATCH($A241,Data[Dist],0),MATCH(E$4,Data[#Headers],0)))</f>
        <v>53485</v>
      </c>
      <c r="F241" s="22">
        <f>IF(OR(Notes!$B$3="Pay 1 Regular State Payment Budget",Notes!$B$3="Pay 2 Regular State Payment Budget"),0,INDEX(Data[],MATCH($A241,Data[Dist],0),MATCH(F$4,Data[#Headers],0)))</f>
        <v>0</v>
      </c>
      <c r="G241" s="22">
        <f>INDEX(Data[],MATCH($A241,Data[Dist],0),MATCH(G$4,Data[#Headers],0))</f>
        <v>12064343</v>
      </c>
    </row>
    <row r="242" spans="1:7" s="21" customFormat="1" ht="12.75" x14ac:dyDescent="0.2">
      <c r="A242" s="20" t="str">
        <f>Data!B238</f>
        <v>5184</v>
      </c>
      <c r="B242" s="21" t="str">
        <f>INDEX(Data[],MATCH($A242,Data[Dist],0),MATCH(B$4,Data[#Headers],0))</f>
        <v>Perry</v>
      </c>
      <c r="C242" s="22">
        <f>INDEX(Data[],MATCH($A242,Data[Dist],0),MATCH(C$4,Data[#Headers],0))</f>
        <v>12875418</v>
      </c>
      <c r="D242" s="22">
        <f>INDEX(Data[],MATCH($A242,Data[Dist],0),MATCH(D$4,Data[#Headers],0))</f>
        <v>1559</v>
      </c>
      <c r="E242" s="22">
        <f>IF(Notes!$B$3="Pay 1 Regular State Payment Budget",0,INDEX(Data[],MATCH($A242,Data[Dist],0),MATCH(E$4,Data[#Headers],0)))</f>
        <v>44208</v>
      </c>
      <c r="F242" s="22">
        <f>IF(OR(Notes!$B$3="Pay 1 Regular State Payment Budget",Notes!$B$3="Pay 2 Regular State Payment Budget"),0,INDEX(Data[],MATCH($A242,Data[Dist],0),MATCH(F$4,Data[#Headers],0)))</f>
        <v>0</v>
      </c>
      <c r="G242" s="22">
        <f>INDEX(Data[],MATCH($A242,Data[Dist],0),MATCH(G$4,Data[#Headers],0))</f>
        <v>12829651</v>
      </c>
    </row>
    <row r="243" spans="1:7" s="21" customFormat="1" ht="12.75" x14ac:dyDescent="0.2">
      <c r="A243" s="20" t="str">
        <f>Data!B239</f>
        <v>5250</v>
      </c>
      <c r="B243" s="21" t="str">
        <f>INDEX(Data[],MATCH($A243,Data[Dist],0),MATCH(B$4,Data[#Headers],0))</f>
        <v>Pleasant Valley</v>
      </c>
      <c r="C243" s="22">
        <f>INDEX(Data[],MATCH($A243,Data[Dist],0),MATCH(C$4,Data[#Headers],0))</f>
        <v>27347238</v>
      </c>
      <c r="D243" s="22">
        <f>INDEX(Data[],MATCH($A243,Data[Dist],0),MATCH(D$4,Data[#Headers],0))</f>
        <v>2902</v>
      </c>
      <c r="E243" s="22">
        <f>IF(Notes!$B$3="Pay 1 Regular State Payment Budget",0,INDEX(Data[],MATCH($A243,Data[Dist],0),MATCH(E$4,Data[#Headers],0)))</f>
        <v>122956</v>
      </c>
      <c r="F243" s="22">
        <f>IF(OR(Notes!$B$3="Pay 1 Regular State Payment Budget",Notes!$B$3="Pay 2 Regular State Payment Budget"),0,INDEX(Data[],MATCH($A243,Data[Dist],0),MATCH(F$4,Data[#Headers],0)))</f>
        <v>0</v>
      </c>
      <c r="G243" s="22">
        <f>INDEX(Data[],MATCH($A243,Data[Dist],0),MATCH(G$4,Data[#Headers],0))</f>
        <v>27221380</v>
      </c>
    </row>
    <row r="244" spans="1:7" s="21" customFormat="1" ht="12.75" x14ac:dyDescent="0.2">
      <c r="A244" s="20" t="str">
        <f>Data!B240</f>
        <v>5256</v>
      </c>
      <c r="B244" s="21" t="str">
        <f>INDEX(Data[],MATCH($A244,Data[Dist],0),MATCH(B$4,Data[#Headers],0))</f>
        <v>Pleasantville</v>
      </c>
      <c r="C244" s="22">
        <f>INDEX(Data[],MATCH($A244,Data[Dist],0),MATCH(C$4,Data[#Headers],0))</f>
        <v>4626647</v>
      </c>
      <c r="D244" s="22">
        <f>INDEX(Data[],MATCH($A244,Data[Dist],0),MATCH(D$4,Data[#Headers],0))</f>
        <v>697</v>
      </c>
      <c r="E244" s="22">
        <f>IF(Notes!$B$3="Pay 1 Regular State Payment Budget",0,INDEX(Data[],MATCH($A244,Data[Dist],0),MATCH(E$4,Data[#Headers],0)))</f>
        <v>17430</v>
      </c>
      <c r="F244" s="22">
        <f>IF(OR(Notes!$B$3="Pay 1 Regular State Payment Budget",Notes!$B$3="Pay 2 Regular State Payment Budget"),0,INDEX(Data[],MATCH($A244,Data[Dist],0),MATCH(F$4,Data[#Headers],0)))</f>
        <v>0</v>
      </c>
      <c r="G244" s="22">
        <f>INDEX(Data[],MATCH($A244,Data[Dist],0),MATCH(G$4,Data[#Headers],0))</f>
        <v>4608520</v>
      </c>
    </row>
    <row r="245" spans="1:7" s="21" customFormat="1" ht="12.75" x14ac:dyDescent="0.2">
      <c r="A245" s="20" t="str">
        <f>Data!B241</f>
        <v>5283</v>
      </c>
      <c r="B245" s="21" t="str">
        <f>INDEX(Data[],MATCH($A245,Data[Dist],0),MATCH(B$4,Data[#Headers],0))</f>
        <v>Pocahontas Area</v>
      </c>
      <c r="C245" s="22">
        <f>INDEX(Data[],MATCH($A245,Data[Dist],0),MATCH(C$4,Data[#Headers],0))</f>
        <v>2341240</v>
      </c>
      <c r="D245" s="22">
        <f>INDEX(Data[],MATCH($A245,Data[Dist],0),MATCH(D$4,Data[#Headers],0))</f>
        <v>813</v>
      </c>
      <c r="E245" s="22">
        <f>IF(Notes!$B$3="Pay 1 Regular State Payment Budget",0,INDEX(Data[],MATCH($A245,Data[Dist],0),MATCH(E$4,Data[#Headers],0)))</f>
        <v>17033</v>
      </c>
      <c r="F245" s="22">
        <f>IF(OR(Notes!$B$3="Pay 1 Regular State Payment Budget",Notes!$B$3="Pay 2 Regular State Payment Budget"),0,INDEX(Data[],MATCH($A245,Data[Dist],0),MATCH(F$4,Data[#Headers],0)))</f>
        <v>0</v>
      </c>
      <c r="G245" s="22">
        <f>INDEX(Data[],MATCH($A245,Data[Dist],0),MATCH(G$4,Data[#Headers],0))</f>
        <v>2323394</v>
      </c>
    </row>
    <row r="246" spans="1:7" s="21" customFormat="1" ht="12.75" x14ac:dyDescent="0.2">
      <c r="A246" s="20" t="str">
        <f>Data!B242</f>
        <v>5310</v>
      </c>
      <c r="B246" s="21" t="str">
        <f>INDEX(Data[],MATCH($A246,Data[Dist],0),MATCH(B$4,Data[#Headers],0))</f>
        <v>Postville</v>
      </c>
      <c r="C246" s="22">
        <f>INDEX(Data[],MATCH($A246,Data[Dist],0),MATCH(C$4,Data[#Headers],0))</f>
        <v>5125775</v>
      </c>
      <c r="D246" s="22">
        <f>INDEX(Data[],MATCH($A246,Data[Dist],0),MATCH(D$4,Data[#Headers],0))</f>
        <v>282</v>
      </c>
      <c r="E246" s="22">
        <f>IF(Notes!$B$3="Pay 1 Regular State Payment Budget",0,INDEX(Data[],MATCH($A246,Data[Dist],0),MATCH(E$4,Data[#Headers],0)))</f>
        <v>18257</v>
      </c>
      <c r="F246" s="22">
        <f>IF(OR(Notes!$B$3="Pay 1 Regular State Payment Budget",Notes!$B$3="Pay 2 Regular State Payment Budget"),0,INDEX(Data[],MATCH($A246,Data[Dist],0),MATCH(F$4,Data[#Headers],0)))</f>
        <v>0</v>
      </c>
      <c r="G246" s="22">
        <f>INDEX(Data[],MATCH($A246,Data[Dist],0),MATCH(G$4,Data[#Headers],0))</f>
        <v>5107236</v>
      </c>
    </row>
    <row r="247" spans="1:7" s="21" customFormat="1" ht="12.75" x14ac:dyDescent="0.2">
      <c r="A247" s="20" t="str">
        <f>Data!B243</f>
        <v>5319</v>
      </c>
      <c r="B247" s="21" t="str">
        <f>INDEX(Data[],MATCH($A247,Data[Dist],0),MATCH(B$4,Data[#Headers],0))</f>
        <v>PCM</v>
      </c>
      <c r="C247" s="22">
        <f>INDEX(Data[],MATCH($A247,Data[Dist],0),MATCH(C$4,Data[#Headers],0))</f>
        <v>6490065</v>
      </c>
      <c r="D247" s="22">
        <f>INDEX(Data[],MATCH($A247,Data[Dist],0),MATCH(D$4,Data[#Headers],0))</f>
        <v>829</v>
      </c>
      <c r="E247" s="22">
        <f>IF(Notes!$B$3="Pay 1 Regular State Payment Budget",0,INDEX(Data[],MATCH($A247,Data[Dist],0),MATCH(E$4,Data[#Headers],0)))</f>
        <v>26073</v>
      </c>
      <c r="F247" s="22">
        <f>IF(OR(Notes!$B$3="Pay 1 Regular State Payment Budget",Notes!$B$3="Pay 2 Regular State Payment Budget"),0,INDEX(Data[],MATCH($A247,Data[Dist],0),MATCH(F$4,Data[#Headers],0)))</f>
        <v>0</v>
      </c>
      <c r="G247" s="22">
        <f>INDEX(Data[],MATCH($A247,Data[Dist],0),MATCH(G$4,Data[#Headers],0))</f>
        <v>6463163</v>
      </c>
    </row>
    <row r="248" spans="1:7" s="21" customFormat="1" ht="12.75" x14ac:dyDescent="0.2">
      <c r="A248" s="20" t="str">
        <f>Data!B244</f>
        <v>5323</v>
      </c>
      <c r="B248" s="21" t="str">
        <f>INDEX(Data[],MATCH($A248,Data[Dist],0),MATCH(B$4,Data[#Headers],0))</f>
        <v>Prairie Valley</v>
      </c>
      <c r="C248" s="22">
        <f>INDEX(Data[],MATCH($A248,Data[Dist],0),MATCH(C$4,Data[#Headers],0))</f>
        <v>2905236</v>
      </c>
      <c r="D248" s="22">
        <f>INDEX(Data[],MATCH($A248,Data[Dist],0),MATCH(D$4,Data[#Headers],0))</f>
        <v>498</v>
      </c>
      <c r="E248" s="22">
        <f>IF(Notes!$B$3="Pay 1 Regular State Payment Budget",0,INDEX(Data[],MATCH($A248,Data[Dist],0),MATCH(E$4,Data[#Headers],0)))</f>
        <v>14438</v>
      </c>
      <c r="F248" s="22">
        <f>IF(OR(Notes!$B$3="Pay 1 Regular State Payment Budget",Notes!$B$3="Pay 2 Regular State Payment Budget"),0,INDEX(Data[],MATCH($A248,Data[Dist],0),MATCH(F$4,Data[#Headers],0)))</f>
        <v>0</v>
      </c>
      <c r="G248" s="22">
        <f>INDEX(Data[],MATCH($A248,Data[Dist],0),MATCH(G$4,Data[#Headers],0))</f>
        <v>2890300</v>
      </c>
    </row>
    <row r="249" spans="1:7" s="21" customFormat="1" ht="12.75" x14ac:dyDescent="0.2">
      <c r="A249" s="20" t="str">
        <f>Data!B245</f>
        <v>5463</v>
      </c>
      <c r="B249" s="21" t="str">
        <f>INDEX(Data[],MATCH($A249,Data[Dist],0),MATCH(B$4,Data[#Headers],0))</f>
        <v>Red Oak</v>
      </c>
      <c r="C249" s="22">
        <f>INDEX(Data[],MATCH($A249,Data[Dist],0),MATCH(C$4,Data[#Headers],0))</f>
        <v>6411731</v>
      </c>
      <c r="D249" s="22">
        <f>INDEX(Data[],MATCH($A249,Data[Dist],0),MATCH(D$4,Data[#Headers],0))</f>
        <v>912</v>
      </c>
      <c r="E249" s="22">
        <f>IF(Notes!$B$3="Pay 1 Regular State Payment Budget",0,INDEX(Data[],MATCH($A249,Data[Dist],0),MATCH(E$4,Data[#Headers],0)))</f>
        <v>26405</v>
      </c>
      <c r="F249" s="22">
        <f>IF(OR(Notes!$B$3="Pay 1 Regular State Payment Budget",Notes!$B$3="Pay 2 Regular State Payment Budget"),0,INDEX(Data[],MATCH($A249,Data[Dist],0),MATCH(F$4,Data[#Headers],0)))</f>
        <v>0</v>
      </c>
      <c r="G249" s="22">
        <f>INDEX(Data[],MATCH($A249,Data[Dist],0),MATCH(G$4,Data[#Headers],0))</f>
        <v>6384414</v>
      </c>
    </row>
    <row r="250" spans="1:7" s="21" customFormat="1" ht="12.75" x14ac:dyDescent="0.2">
      <c r="A250" s="20" t="str">
        <f>Data!B246</f>
        <v>5486</v>
      </c>
      <c r="B250" s="21" t="str">
        <f>INDEX(Data[],MATCH($A250,Data[Dist],0),MATCH(B$4,Data[#Headers],0))</f>
        <v>Remsen-Union</v>
      </c>
      <c r="C250" s="22">
        <f>INDEX(Data[],MATCH($A250,Data[Dist],0),MATCH(C$4,Data[#Headers],0))</f>
        <v>1434820</v>
      </c>
      <c r="D250" s="22">
        <f>INDEX(Data[],MATCH($A250,Data[Dist],0),MATCH(D$4,Data[#Headers],0))</f>
        <v>348</v>
      </c>
      <c r="E250" s="22">
        <f>IF(Notes!$B$3="Pay 1 Regular State Payment Budget",0,INDEX(Data[],MATCH($A250,Data[Dist],0),MATCH(E$4,Data[#Headers],0)))</f>
        <v>8603</v>
      </c>
      <c r="F250" s="22">
        <f>IF(OR(Notes!$B$3="Pay 1 Regular State Payment Budget",Notes!$B$3="Pay 2 Regular State Payment Budget"),0,INDEX(Data[],MATCH($A250,Data[Dist],0),MATCH(F$4,Data[#Headers],0)))</f>
        <v>39697</v>
      </c>
      <c r="G250" s="22">
        <f>INDEX(Data[],MATCH($A250,Data[Dist],0),MATCH(G$4,Data[#Headers],0))</f>
        <v>1386172</v>
      </c>
    </row>
    <row r="251" spans="1:7" s="21" customFormat="1" ht="12.75" x14ac:dyDescent="0.2">
      <c r="A251" s="20" t="str">
        <f>Data!B247</f>
        <v>5508</v>
      </c>
      <c r="B251" s="21" t="str">
        <f>INDEX(Data[],MATCH($A251,Data[Dist],0),MATCH(B$4,Data[#Headers],0))</f>
        <v>Riceville</v>
      </c>
      <c r="C251" s="22">
        <f>INDEX(Data[],MATCH($A251,Data[Dist],0),MATCH(C$4,Data[#Headers],0))</f>
        <v>1284125</v>
      </c>
      <c r="D251" s="22">
        <f>INDEX(Data[],MATCH($A251,Data[Dist],0),MATCH(D$4,Data[#Headers],0))</f>
        <v>415</v>
      </c>
      <c r="E251" s="22">
        <f>IF(Notes!$B$3="Pay 1 Regular State Payment Budget",0,INDEX(Data[],MATCH($A251,Data[Dist],0),MATCH(E$4,Data[#Headers],0)))</f>
        <v>8201</v>
      </c>
      <c r="F251" s="22">
        <f>IF(OR(Notes!$B$3="Pay 1 Regular State Payment Budget",Notes!$B$3="Pay 2 Regular State Payment Budget"),0,INDEX(Data[],MATCH($A251,Data[Dist],0),MATCH(F$4,Data[#Headers],0)))</f>
        <v>0</v>
      </c>
      <c r="G251" s="22">
        <f>INDEX(Data[],MATCH($A251,Data[Dist],0),MATCH(G$4,Data[#Headers],0))</f>
        <v>1275509</v>
      </c>
    </row>
    <row r="252" spans="1:7" s="21" customFormat="1" ht="12.75" x14ac:dyDescent="0.2">
      <c r="A252" s="20" t="str">
        <f>Data!B248</f>
        <v>5607</v>
      </c>
      <c r="B252" s="21" t="str">
        <f>INDEX(Data[],MATCH($A252,Data[Dist],0),MATCH(B$4,Data[#Headers],0))</f>
        <v>Rock Valley</v>
      </c>
      <c r="C252" s="22">
        <f>INDEX(Data[],MATCH($A252,Data[Dist],0),MATCH(C$4,Data[#Headers],0))</f>
        <v>5133796</v>
      </c>
      <c r="D252" s="22">
        <f>INDEX(Data[],MATCH($A252,Data[Dist],0),MATCH(D$4,Data[#Headers],0))</f>
        <v>1294</v>
      </c>
      <c r="E252" s="22">
        <f>IF(Notes!$B$3="Pay 1 Regular State Payment Budget",0,INDEX(Data[],MATCH($A252,Data[Dist],0),MATCH(E$4,Data[#Headers],0)))</f>
        <v>20113</v>
      </c>
      <c r="F252" s="22">
        <f>IF(OR(Notes!$B$3="Pay 1 Regular State Payment Budget",Notes!$B$3="Pay 2 Regular State Payment Budget"),0,INDEX(Data[],MATCH($A252,Data[Dist],0),MATCH(F$4,Data[#Headers],0)))</f>
        <v>0</v>
      </c>
      <c r="G252" s="22">
        <f>INDEX(Data[],MATCH($A252,Data[Dist],0),MATCH(G$4,Data[#Headers],0))</f>
        <v>5112389</v>
      </c>
    </row>
    <row r="253" spans="1:7" s="21" customFormat="1" ht="12.75" x14ac:dyDescent="0.2">
      <c r="A253" s="20" t="str">
        <f>Data!B249</f>
        <v>5643</v>
      </c>
      <c r="B253" s="21" t="str">
        <f>INDEX(Data[],MATCH($A253,Data[Dist],0),MATCH(B$4,Data[#Headers],0))</f>
        <v>Roland-Story</v>
      </c>
      <c r="C253" s="22">
        <f>INDEX(Data[],MATCH($A253,Data[Dist],0),MATCH(C$4,Data[#Headers],0))</f>
        <v>5941538</v>
      </c>
      <c r="D253" s="22">
        <f>INDEX(Data[],MATCH($A253,Data[Dist],0),MATCH(D$4,Data[#Headers],0))</f>
        <v>912</v>
      </c>
      <c r="E253" s="22">
        <f>IF(Notes!$B$3="Pay 1 Regular State Payment Budget",0,INDEX(Data[],MATCH($A253,Data[Dist],0),MATCH(E$4,Data[#Headers],0)))</f>
        <v>25261</v>
      </c>
      <c r="F253" s="22">
        <f>IF(OR(Notes!$B$3="Pay 1 Regular State Payment Budget",Notes!$B$3="Pay 2 Regular State Payment Budget"),0,INDEX(Data[],MATCH($A253,Data[Dist],0),MATCH(F$4,Data[#Headers],0)))</f>
        <v>0</v>
      </c>
      <c r="G253" s="22">
        <f>INDEX(Data[],MATCH($A253,Data[Dist],0),MATCH(G$4,Data[#Headers],0))</f>
        <v>5915365</v>
      </c>
    </row>
    <row r="254" spans="1:7" s="21" customFormat="1" ht="12.75" x14ac:dyDescent="0.2">
      <c r="A254" s="20" t="str">
        <f>Data!B250</f>
        <v>5697</v>
      </c>
      <c r="B254" s="21" t="str">
        <f>INDEX(Data[],MATCH($A254,Data[Dist],0),MATCH(B$4,Data[#Headers],0))</f>
        <v>Rudd-Rockford-Marble Rock</v>
      </c>
      <c r="C254" s="22">
        <f>INDEX(Data[],MATCH($A254,Data[Dist],0),MATCH(C$4,Data[#Headers],0))</f>
        <v>2242508</v>
      </c>
      <c r="D254" s="22">
        <f>INDEX(Data[],MATCH($A254,Data[Dist],0),MATCH(D$4,Data[#Headers],0))</f>
        <v>315</v>
      </c>
      <c r="E254" s="22">
        <f>IF(Notes!$B$3="Pay 1 Regular State Payment Budget",0,INDEX(Data[],MATCH($A254,Data[Dist],0),MATCH(E$4,Data[#Headers],0)))</f>
        <v>10441</v>
      </c>
      <c r="F254" s="22">
        <f>IF(OR(Notes!$B$3="Pay 1 Regular State Payment Budget",Notes!$B$3="Pay 2 Regular State Payment Budget"),0,INDEX(Data[],MATCH($A254,Data[Dist],0),MATCH(F$4,Data[#Headers],0)))</f>
        <v>0</v>
      </c>
      <c r="G254" s="22">
        <f>INDEX(Data[],MATCH($A254,Data[Dist],0),MATCH(G$4,Data[#Headers],0))</f>
        <v>2231752</v>
      </c>
    </row>
    <row r="255" spans="1:7" s="21" customFormat="1" ht="12.75" x14ac:dyDescent="0.2">
      <c r="A255" s="20" t="str">
        <f>Data!B251</f>
        <v>5724</v>
      </c>
      <c r="B255" s="21" t="str">
        <f>INDEX(Data[],MATCH($A255,Data[Dist],0),MATCH(B$4,Data[#Headers],0))</f>
        <v>Ruthven-Ayrshire</v>
      </c>
      <c r="C255" s="22">
        <f>INDEX(Data[],MATCH($A255,Data[Dist],0),MATCH(C$4,Data[#Headers],0))</f>
        <v>1307311</v>
      </c>
      <c r="D255" s="22">
        <f>INDEX(Data[],MATCH($A255,Data[Dist],0),MATCH(D$4,Data[#Headers],0))</f>
        <v>166</v>
      </c>
      <c r="E255" s="22">
        <f>IF(Notes!$B$3="Pay 1 Regular State Payment Budget",0,INDEX(Data[],MATCH($A255,Data[Dist],0),MATCH(E$4,Data[#Headers],0)))</f>
        <v>5545</v>
      </c>
      <c r="F255" s="22">
        <f>IF(OR(Notes!$B$3="Pay 1 Regular State Payment Budget",Notes!$B$3="Pay 2 Regular State Payment Budget"),0,INDEX(Data[],MATCH($A255,Data[Dist],0),MATCH(F$4,Data[#Headers],0)))</f>
        <v>0</v>
      </c>
      <c r="G255" s="22">
        <f>INDEX(Data[],MATCH($A255,Data[Dist],0),MATCH(G$4,Data[#Headers],0))</f>
        <v>1301600</v>
      </c>
    </row>
    <row r="256" spans="1:7" s="21" customFormat="1" ht="12.75" x14ac:dyDescent="0.2">
      <c r="A256" s="20" t="str">
        <f>Data!B252</f>
        <v>5751</v>
      </c>
      <c r="B256" s="21" t="str">
        <f>INDEX(Data[],MATCH($A256,Data[Dist],0),MATCH(B$4,Data[#Headers],0))</f>
        <v>St Ansgar</v>
      </c>
      <c r="C256" s="22">
        <f>INDEX(Data[],MATCH($A256,Data[Dist],0),MATCH(C$4,Data[#Headers],0))</f>
        <v>2819498</v>
      </c>
      <c r="D256" s="22">
        <f>INDEX(Data[],MATCH($A256,Data[Dist],0),MATCH(D$4,Data[#Headers],0))</f>
        <v>498</v>
      </c>
      <c r="E256" s="22">
        <f>IF(Notes!$B$3="Pay 1 Regular State Payment Budget",0,INDEX(Data[],MATCH($A256,Data[Dist],0),MATCH(E$4,Data[#Headers],0)))</f>
        <v>14847</v>
      </c>
      <c r="F256" s="22">
        <f>IF(OR(Notes!$B$3="Pay 1 Regular State Payment Budget",Notes!$B$3="Pay 2 Regular State Payment Budget"),0,INDEX(Data[],MATCH($A256,Data[Dist],0),MATCH(F$4,Data[#Headers],0)))</f>
        <v>0</v>
      </c>
      <c r="G256" s="22">
        <f>INDEX(Data[],MATCH($A256,Data[Dist],0),MATCH(G$4,Data[#Headers],0))</f>
        <v>2804153</v>
      </c>
    </row>
    <row r="257" spans="1:7" s="21" customFormat="1" ht="12.75" x14ac:dyDescent="0.2">
      <c r="A257" s="20" t="str">
        <f>Data!B253</f>
        <v>5805</v>
      </c>
      <c r="B257" s="21" t="str">
        <f>INDEX(Data[],MATCH($A257,Data[Dist],0),MATCH(B$4,Data[#Headers],0))</f>
        <v>Saydel</v>
      </c>
      <c r="C257" s="22">
        <f>INDEX(Data[],MATCH($A257,Data[Dist],0),MATCH(C$4,Data[#Headers],0))</f>
        <v>4228669</v>
      </c>
      <c r="D257" s="22">
        <f>INDEX(Data[],MATCH($A257,Data[Dist],0),MATCH(D$4,Data[#Headers],0))</f>
        <v>929</v>
      </c>
      <c r="E257" s="22">
        <f>IF(Notes!$B$3="Pay 1 Regular State Payment Budget",0,INDEX(Data[],MATCH($A257,Data[Dist],0),MATCH(E$4,Data[#Headers],0)))</f>
        <v>27961</v>
      </c>
      <c r="F257" s="22">
        <f>IF(OR(Notes!$B$3="Pay 1 Regular State Payment Budget",Notes!$B$3="Pay 2 Regular State Payment Budget"),0,INDEX(Data[],MATCH($A257,Data[Dist],0),MATCH(F$4,Data[#Headers],0)))</f>
        <v>0</v>
      </c>
      <c r="G257" s="22">
        <f>INDEX(Data[],MATCH($A257,Data[Dist],0),MATCH(G$4,Data[#Headers],0))</f>
        <v>4199779</v>
      </c>
    </row>
    <row r="258" spans="1:7" s="21" customFormat="1" ht="12.75" x14ac:dyDescent="0.2">
      <c r="A258" s="20" t="str">
        <f>Data!B254</f>
        <v>5823</v>
      </c>
      <c r="B258" s="21" t="str">
        <f>INDEX(Data[],MATCH($A258,Data[Dist],0),MATCH(B$4,Data[#Headers],0))</f>
        <v>Schaller-Crestland</v>
      </c>
      <c r="C258" s="22">
        <f>INDEX(Data[],MATCH($A258,Data[Dist],0),MATCH(C$4,Data[#Headers],0))</f>
        <v>1677292</v>
      </c>
      <c r="D258" s="22">
        <f>INDEX(Data[],MATCH($A258,Data[Dist],0),MATCH(D$4,Data[#Headers],0))</f>
        <v>381</v>
      </c>
      <c r="E258" s="22">
        <f>IF(Notes!$B$3="Pay 1 Regular State Payment Budget",0,INDEX(Data[],MATCH($A258,Data[Dist],0),MATCH(E$4,Data[#Headers],0)))</f>
        <v>8720</v>
      </c>
      <c r="F258" s="22">
        <f>IF(OR(Notes!$B$3="Pay 1 Regular State Payment Budget",Notes!$B$3="Pay 2 Regular State Payment Budget"),0,INDEX(Data[],MATCH($A258,Data[Dist],0),MATCH(F$4,Data[#Headers],0)))</f>
        <v>0</v>
      </c>
      <c r="G258" s="22">
        <f>INDEX(Data[],MATCH($A258,Data[Dist],0),MATCH(G$4,Data[#Headers],0))</f>
        <v>1668191</v>
      </c>
    </row>
    <row r="259" spans="1:7" s="21" customFormat="1" ht="12.75" x14ac:dyDescent="0.2">
      <c r="A259" s="20" t="str">
        <f>Data!B255</f>
        <v>5832</v>
      </c>
      <c r="B259" s="21" t="str">
        <f>INDEX(Data[],MATCH($A259,Data[Dist],0),MATCH(B$4,Data[#Headers],0))</f>
        <v>Schleswig</v>
      </c>
      <c r="C259" s="22">
        <f>INDEX(Data[],MATCH($A259,Data[Dist],0),MATCH(C$4,Data[#Headers],0))</f>
        <v>1321043</v>
      </c>
      <c r="D259" s="22">
        <f>INDEX(Data[],MATCH($A259,Data[Dist],0),MATCH(D$4,Data[#Headers],0))</f>
        <v>265</v>
      </c>
      <c r="E259" s="22">
        <f>IF(Notes!$B$3="Pay 1 Regular State Payment Budget",0,INDEX(Data[],MATCH($A259,Data[Dist],0),MATCH(E$4,Data[#Headers],0)))</f>
        <v>6644</v>
      </c>
      <c r="F259" s="22">
        <f>IF(OR(Notes!$B$3="Pay 1 Regular State Payment Budget",Notes!$B$3="Pay 2 Regular State Payment Budget"),0,INDEX(Data[],MATCH($A259,Data[Dist],0),MATCH(F$4,Data[#Headers],0)))</f>
        <v>0</v>
      </c>
      <c r="G259" s="22">
        <f>INDEX(Data[],MATCH($A259,Data[Dist],0),MATCH(G$4,Data[#Headers],0))</f>
        <v>1314134</v>
      </c>
    </row>
    <row r="260" spans="1:7" s="21" customFormat="1" ht="12.75" x14ac:dyDescent="0.2">
      <c r="A260" s="20" t="str">
        <f>Data!B256</f>
        <v>5877</v>
      </c>
      <c r="B260" s="21" t="str">
        <f>INDEX(Data[],MATCH($A260,Data[Dist],0),MATCH(B$4,Data[#Headers],0))</f>
        <v>Sergeant Bluff-Luton</v>
      </c>
      <c r="C260" s="22">
        <f>INDEX(Data[],MATCH($A260,Data[Dist],0),MATCH(C$4,Data[#Headers],0))</f>
        <v>7277442</v>
      </c>
      <c r="D260" s="22">
        <f>INDEX(Data[],MATCH($A260,Data[Dist],0),MATCH(D$4,Data[#Headers],0))</f>
        <v>1260</v>
      </c>
      <c r="E260" s="22">
        <f>IF(Notes!$B$3="Pay 1 Regular State Payment Budget",0,INDEX(Data[],MATCH($A260,Data[Dist],0),MATCH(E$4,Data[#Headers],0)))</f>
        <v>35852</v>
      </c>
      <c r="F260" s="22">
        <f>IF(OR(Notes!$B$3="Pay 1 Regular State Payment Budget",Notes!$B$3="Pay 2 Regular State Payment Budget"),0,INDEX(Data[],MATCH($A260,Data[Dist],0),MATCH(F$4,Data[#Headers],0)))</f>
        <v>0</v>
      </c>
      <c r="G260" s="22">
        <f>INDEX(Data[],MATCH($A260,Data[Dist],0),MATCH(G$4,Data[#Headers],0))</f>
        <v>7240330</v>
      </c>
    </row>
    <row r="261" spans="1:7" s="21" customFormat="1" ht="12.75" x14ac:dyDescent="0.2">
      <c r="A261" s="20" t="str">
        <f>Data!B257</f>
        <v>5895</v>
      </c>
      <c r="B261" s="21" t="str">
        <f>INDEX(Data[],MATCH($A261,Data[Dist],0),MATCH(B$4,Data[#Headers],0))</f>
        <v>Seymour</v>
      </c>
      <c r="C261" s="22">
        <f>INDEX(Data[],MATCH($A261,Data[Dist],0),MATCH(C$4,Data[#Headers],0))</f>
        <v>1777450</v>
      </c>
      <c r="D261" s="22">
        <f>INDEX(Data[],MATCH($A261,Data[Dist],0),MATCH(D$4,Data[#Headers],0))</f>
        <v>182</v>
      </c>
      <c r="E261" s="22">
        <f>IF(Notes!$B$3="Pay 1 Regular State Payment Budget",0,INDEX(Data[],MATCH($A261,Data[Dist],0),MATCH(E$4,Data[#Headers],0)))</f>
        <v>6997</v>
      </c>
      <c r="F261" s="22">
        <f>IF(OR(Notes!$B$3="Pay 1 Regular State Payment Budget",Notes!$B$3="Pay 2 Regular State Payment Budget"),0,INDEX(Data[],MATCH($A261,Data[Dist],0),MATCH(F$4,Data[#Headers],0)))</f>
        <v>0</v>
      </c>
      <c r="G261" s="22">
        <f>INDEX(Data[],MATCH($A261,Data[Dist],0),MATCH(G$4,Data[#Headers],0))</f>
        <v>1770271</v>
      </c>
    </row>
    <row r="262" spans="1:7" s="21" customFormat="1" ht="12.75" x14ac:dyDescent="0.2">
      <c r="A262" s="20" t="str">
        <f>Data!B258</f>
        <v>5922</v>
      </c>
      <c r="B262" s="21" t="str">
        <f>INDEX(Data[],MATCH($A262,Data[Dist],0),MATCH(B$4,Data[#Headers],0))</f>
        <v>West Fork</v>
      </c>
      <c r="C262" s="22">
        <f>INDEX(Data[],MATCH($A262,Data[Dist],0),MATCH(C$4,Data[#Headers],0))</f>
        <v>3643582</v>
      </c>
      <c r="D262" s="22">
        <f>INDEX(Data[],MATCH($A262,Data[Dist],0),MATCH(D$4,Data[#Headers],0))</f>
        <v>697</v>
      </c>
      <c r="E262" s="22">
        <f>IF(Notes!$B$3="Pay 1 Regular State Payment Budget",0,INDEX(Data[],MATCH($A262,Data[Dist],0),MATCH(E$4,Data[#Headers],0)))</f>
        <v>17508</v>
      </c>
      <c r="F262" s="22">
        <f>IF(OR(Notes!$B$3="Pay 1 Regular State Payment Budget",Notes!$B$3="Pay 2 Regular State Payment Budget"),0,INDEX(Data[],MATCH($A262,Data[Dist],0),MATCH(F$4,Data[#Headers],0)))</f>
        <v>0</v>
      </c>
      <c r="G262" s="22">
        <f>INDEX(Data[],MATCH($A262,Data[Dist],0),MATCH(G$4,Data[#Headers],0))</f>
        <v>3625377</v>
      </c>
    </row>
    <row r="263" spans="1:7" s="21" customFormat="1" ht="12.75" x14ac:dyDescent="0.2">
      <c r="A263" s="20" t="str">
        <f>Data!B259</f>
        <v>5949</v>
      </c>
      <c r="B263" s="21" t="str">
        <f>INDEX(Data[],MATCH($A263,Data[Dist],0),MATCH(B$4,Data[#Headers],0))</f>
        <v>Sheldon</v>
      </c>
      <c r="C263" s="22">
        <f>INDEX(Data[],MATCH($A263,Data[Dist],0),MATCH(C$4,Data[#Headers],0))</f>
        <v>6615713</v>
      </c>
      <c r="D263" s="22">
        <f>INDEX(Data[],MATCH($A263,Data[Dist],0),MATCH(D$4,Data[#Headers],0))</f>
        <v>1393</v>
      </c>
      <c r="E263" s="22">
        <f>IF(Notes!$B$3="Pay 1 Regular State Payment Budget",0,INDEX(Data[],MATCH($A263,Data[Dist],0),MATCH(E$4,Data[#Headers],0)))</f>
        <v>26765</v>
      </c>
      <c r="F263" s="22">
        <f>IF(OR(Notes!$B$3="Pay 1 Regular State Payment Budget",Notes!$B$3="Pay 2 Regular State Payment Budget"),0,INDEX(Data[],MATCH($A263,Data[Dist],0),MATCH(F$4,Data[#Headers],0)))</f>
        <v>0</v>
      </c>
      <c r="G263" s="22">
        <f>INDEX(Data[],MATCH($A263,Data[Dist],0),MATCH(G$4,Data[#Headers],0))</f>
        <v>6587555</v>
      </c>
    </row>
    <row r="264" spans="1:7" s="21" customFormat="1" ht="12.75" x14ac:dyDescent="0.2">
      <c r="A264" s="20" t="str">
        <f>Data!B260</f>
        <v>5976</v>
      </c>
      <c r="B264" s="21" t="str">
        <f>INDEX(Data[],MATCH($A264,Data[Dist],0),MATCH(B$4,Data[#Headers],0))</f>
        <v>Shenandoah</v>
      </c>
      <c r="C264" s="22">
        <f>INDEX(Data[],MATCH($A264,Data[Dist],0),MATCH(C$4,Data[#Headers],0))</f>
        <v>6684184</v>
      </c>
      <c r="D264" s="22">
        <f>INDEX(Data[],MATCH($A264,Data[Dist],0),MATCH(D$4,Data[#Headers],0))</f>
        <v>1061</v>
      </c>
      <c r="E264" s="22">
        <f>IF(Notes!$B$3="Pay 1 Regular State Payment Budget",0,INDEX(Data[],MATCH($A264,Data[Dist],0),MATCH(E$4,Data[#Headers],0)))</f>
        <v>27050</v>
      </c>
      <c r="F264" s="22">
        <f>IF(OR(Notes!$B$3="Pay 1 Regular State Payment Budget",Notes!$B$3="Pay 2 Regular State Payment Budget"),0,INDEX(Data[],MATCH($A264,Data[Dist],0),MATCH(F$4,Data[#Headers],0)))</f>
        <v>0</v>
      </c>
      <c r="G264" s="22">
        <f>INDEX(Data[],MATCH($A264,Data[Dist],0),MATCH(G$4,Data[#Headers],0))</f>
        <v>6656073</v>
      </c>
    </row>
    <row r="265" spans="1:7" s="21" customFormat="1" ht="12.75" x14ac:dyDescent="0.2">
      <c r="A265" s="20" t="str">
        <f>Data!B261</f>
        <v>5994</v>
      </c>
      <c r="B265" s="21" t="str">
        <f>INDEX(Data[],MATCH($A265,Data[Dist],0),MATCH(B$4,Data[#Headers],0))</f>
        <v>Sibley-Ocheyedan</v>
      </c>
      <c r="C265" s="22">
        <f>INDEX(Data[],MATCH($A265,Data[Dist],0),MATCH(C$4,Data[#Headers],0))</f>
        <v>4357315</v>
      </c>
      <c r="D265" s="22">
        <f>INDEX(Data[],MATCH($A265,Data[Dist],0),MATCH(D$4,Data[#Headers],0))</f>
        <v>779</v>
      </c>
      <c r="E265" s="22">
        <f>IF(Notes!$B$3="Pay 1 Regular State Payment Budget",0,INDEX(Data[],MATCH($A265,Data[Dist],0),MATCH(E$4,Data[#Headers],0)))</f>
        <v>19299</v>
      </c>
      <c r="F265" s="22">
        <f>IF(OR(Notes!$B$3="Pay 1 Regular State Payment Budget",Notes!$B$3="Pay 2 Regular State Payment Budget"),0,INDEX(Data[],MATCH($A265,Data[Dist],0),MATCH(F$4,Data[#Headers],0)))</f>
        <v>0</v>
      </c>
      <c r="G265" s="22">
        <f>INDEX(Data[],MATCH($A265,Data[Dist],0),MATCH(G$4,Data[#Headers],0))</f>
        <v>4337237</v>
      </c>
    </row>
    <row r="266" spans="1:7" s="21" customFormat="1" ht="12.75" x14ac:dyDescent="0.2">
      <c r="A266" s="20" t="str">
        <f>Data!B262</f>
        <v>6003</v>
      </c>
      <c r="B266" s="21" t="str">
        <f>INDEX(Data[],MATCH($A266,Data[Dist],0),MATCH(B$4,Data[#Headers],0))</f>
        <v>Sidney</v>
      </c>
      <c r="C266" s="22">
        <f>INDEX(Data[],MATCH($A266,Data[Dist],0),MATCH(C$4,Data[#Headers],0))</f>
        <v>2511491</v>
      </c>
      <c r="D266" s="22">
        <f>INDEX(Data[],MATCH($A266,Data[Dist],0),MATCH(D$4,Data[#Headers],0))</f>
        <v>498</v>
      </c>
      <c r="E266" s="22">
        <f>IF(Notes!$B$3="Pay 1 Regular State Payment Budget",0,INDEX(Data[],MATCH($A266,Data[Dist],0),MATCH(E$4,Data[#Headers],0)))</f>
        <v>9834</v>
      </c>
      <c r="F266" s="22">
        <f>IF(OR(Notes!$B$3="Pay 1 Regular State Payment Budget",Notes!$B$3="Pay 2 Regular State Payment Budget"),0,INDEX(Data[],MATCH($A266,Data[Dist],0),MATCH(F$4,Data[#Headers],0)))</f>
        <v>0</v>
      </c>
      <c r="G266" s="22">
        <f>INDEX(Data[],MATCH($A266,Data[Dist],0),MATCH(G$4,Data[#Headers],0))</f>
        <v>2501159</v>
      </c>
    </row>
    <row r="267" spans="1:7" s="21" customFormat="1" ht="12.75" x14ac:dyDescent="0.2">
      <c r="A267" s="20" t="str">
        <f>Data!B263</f>
        <v>6012</v>
      </c>
      <c r="B267" s="21" t="str">
        <f>INDEX(Data[],MATCH($A267,Data[Dist],0),MATCH(B$4,Data[#Headers],0))</f>
        <v>Sigourney</v>
      </c>
      <c r="C267" s="22">
        <f>INDEX(Data[],MATCH($A267,Data[Dist],0),MATCH(C$4,Data[#Headers],0))</f>
        <v>3457281</v>
      </c>
      <c r="D267" s="22">
        <f>INDEX(Data[],MATCH($A267,Data[Dist],0),MATCH(D$4,Data[#Headers],0))</f>
        <v>498</v>
      </c>
      <c r="E267" s="22">
        <f>IF(Notes!$B$3="Pay 1 Regular State Payment Budget",0,INDEX(Data[],MATCH($A267,Data[Dist],0),MATCH(E$4,Data[#Headers],0)))</f>
        <v>13703</v>
      </c>
      <c r="F267" s="22">
        <f>IF(OR(Notes!$B$3="Pay 1 Regular State Payment Budget",Notes!$B$3="Pay 2 Regular State Payment Budget"),0,INDEX(Data[],MATCH($A267,Data[Dist],0),MATCH(F$4,Data[#Headers],0)))</f>
        <v>0</v>
      </c>
      <c r="G267" s="22">
        <f>INDEX(Data[],MATCH($A267,Data[Dist],0),MATCH(G$4,Data[#Headers],0))</f>
        <v>3443080</v>
      </c>
    </row>
    <row r="268" spans="1:7" s="21" customFormat="1" ht="12.75" x14ac:dyDescent="0.2">
      <c r="A268" s="20" t="str">
        <f>Data!B264</f>
        <v>6030</v>
      </c>
      <c r="B268" s="21" t="str">
        <f>INDEX(Data[],MATCH($A268,Data[Dist],0),MATCH(B$4,Data[#Headers],0))</f>
        <v>Sioux Center</v>
      </c>
      <c r="C268" s="22">
        <f>INDEX(Data[],MATCH($A268,Data[Dist],0),MATCH(C$4,Data[#Headers],0))</f>
        <v>8127070</v>
      </c>
      <c r="D268" s="22">
        <f>INDEX(Data[],MATCH($A268,Data[Dist],0),MATCH(D$4,Data[#Headers],0))</f>
        <v>2173</v>
      </c>
      <c r="E268" s="22">
        <f>IF(Notes!$B$3="Pay 1 Regular State Payment Budget",0,INDEX(Data[],MATCH($A268,Data[Dist],0),MATCH(E$4,Data[#Headers],0)))</f>
        <v>32537</v>
      </c>
      <c r="F268" s="22">
        <f>IF(OR(Notes!$B$3="Pay 1 Regular State Payment Budget",Notes!$B$3="Pay 2 Regular State Payment Budget"),0,INDEX(Data[],MATCH($A268,Data[Dist],0),MATCH(F$4,Data[#Headers],0)))</f>
        <v>0</v>
      </c>
      <c r="G268" s="22">
        <f>INDEX(Data[],MATCH($A268,Data[Dist],0),MATCH(G$4,Data[#Headers],0))</f>
        <v>8092360</v>
      </c>
    </row>
    <row r="269" spans="1:7" s="21" customFormat="1" ht="12.75" x14ac:dyDescent="0.2">
      <c r="A269" s="20" t="str">
        <f>Data!B265</f>
        <v>6039</v>
      </c>
      <c r="B269" s="21" t="str">
        <f>INDEX(Data[],MATCH($A269,Data[Dist],0),MATCH(B$4,Data[#Headers],0))</f>
        <v>Sioux City</v>
      </c>
      <c r="C269" s="22">
        <f>INDEX(Data[],MATCH($A269,Data[Dist],0),MATCH(C$4,Data[#Headers],0))</f>
        <v>109903496</v>
      </c>
      <c r="D269" s="22">
        <f>INDEX(Data[],MATCH($A269,Data[Dist],0),MATCH(D$4,Data[#Headers],0))</f>
        <v>12936</v>
      </c>
      <c r="E269" s="22">
        <f>IF(Notes!$B$3="Pay 1 Regular State Payment Budget",0,INDEX(Data[],MATCH($A269,Data[Dist],0),MATCH(E$4,Data[#Headers],0)))</f>
        <v>362765</v>
      </c>
      <c r="F269" s="22">
        <f>IF(OR(Notes!$B$3="Pay 1 Regular State Payment Budget",Notes!$B$3="Pay 2 Regular State Payment Budget"),0,INDEX(Data[],MATCH($A269,Data[Dist],0),MATCH(F$4,Data[#Headers],0)))</f>
        <v>0</v>
      </c>
      <c r="G269" s="22">
        <f>INDEX(Data[],MATCH($A269,Data[Dist],0),MATCH(G$4,Data[#Headers],0))</f>
        <v>109527795</v>
      </c>
    </row>
    <row r="270" spans="1:7" s="21" customFormat="1" ht="12.75" x14ac:dyDescent="0.2">
      <c r="A270" s="20" t="str">
        <f>Data!B266</f>
        <v>6048</v>
      </c>
      <c r="B270" s="21" t="str">
        <f>INDEX(Data[],MATCH($A270,Data[Dist],0),MATCH(B$4,Data[#Headers],0))</f>
        <v>Sioux Central</v>
      </c>
      <c r="C270" s="22">
        <f>INDEX(Data[],MATCH($A270,Data[Dist],0),MATCH(C$4,Data[#Headers],0))</f>
        <v>2593349</v>
      </c>
      <c r="D270" s="22">
        <f>INDEX(Data[],MATCH($A270,Data[Dist],0),MATCH(D$4,Data[#Headers],0))</f>
        <v>498</v>
      </c>
      <c r="E270" s="22">
        <f>IF(Notes!$B$3="Pay 1 Regular State Payment Budget",0,INDEX(Data[],MATCH($A270,Data[Dist],0),MATCH(E$4,Data[#Headers],0)))</f>
        <v>12265</v>
      </c>
      <c r="F270" s="22">
        <f>IF(OR(Notes!$B$3="Pay 1 Regular State Payment Budget",Notes!$B$3="Pay 2 Regular State Payment Budget"),0,INDEX(Data[],MATCH($A270,Data[Dist],0),MATCH(F$4,Data[#Headers],0)))</f>
        <v>7379</v>
      </c>
      <c r="G270" s="22">
        <f>INDEX(Data[],MATCH($A270,Data[Dist],0),MATCH(G$4,Data[#Headers],0))</f>
        <v>2573207</v>
      </c>
    </row>
    <row r="271" spans="1:7" s="21" customFormat="1" ht="12.75" x14ac:dyDescent="0.2">
      <c r="A271" s="20" t="str">
        <f>Data!B267</f>
        <v>6091</v>
      </c>
      <c r="B271" s="21" t="str">
        <f>INDEX(Data[],MATCH($A271,Data[Dist],0),MATCH(B$4,Data[#Headers],0))</f>
        <v>South Central Calhoun</v>
      </c>
      <c r="C271" s="22">
        <f>INDEX(Data[],MATCH($A271,Data[Dist],0),MATCH(C$4,Data[#Headers],0))</f>
        <v>4690923</v>
      </c>
      <c r="D271" s="22">
        <f>INDEX(Data[],MATCH($A271,Data[Dist],0),MATCH(D$4,Data[#Headers],0))</f>
        <v>1012</v>
      </c>
      <c r="E271" s="22">
        <f>IF(Notes!$B$3="Pay 1 Regular State Payment Budget",0,INDEX(Data[],MATCH($A271,Data[Dist],0),MATCH(E$4,Data[#Headers],0)))</f>
        <v>22433</v>
      </c>
      <c r="F271" s="22">
        <f>IF(OR(Notes!$B$3="Pay 1 Regular State Payment Budget",Notes!$B$3="Pay 2 Regular State Payment Budget"),0,INDEX(Data[],MATCH($A271,Data[Dist],0),MATCH(F$4,Data[#Headers],0)))</f>
        <v>0</v>
      </c>
      <c r="G271" s="22">
        <f>INDEX(Data[],MATCH($A271,Data[Dist],0),MATCH(G$4,Data[#Headers],0))</f>
        <v>4667478</v>
      </c>
    </row>
    <row r="272" spans="1:7" s="21" customFormat="1" ht="12.75" x14ac:dyDescent="0.2">
      <c r="A272" s="20" t="str">
        <f>Data!B268</f>
        <v>6093</v>
      </c>
      <c r="B272" s="21" t="str">
        <f>INDEX(Data[],MATCH($A272,Data[Dist],0),MATCH(B$4,Data[#Headers],0))</f>
        <v>Solon</v>
      </c>
      <c r="C272" s="22">
        <f>INDEX(Data[],MATCH($A272,Data[Dist],0),MATCH(C$4,Data[#Headers],0))</f>
        <v>7536067</v>
      </c>
      <c r="D272" s="22">
        <f>INDEX(Data[],MATCH($A272,Data[Dist],0),MATCH(D$4,Data[#Headers],0))</f>
        <v>962</v>
      </c>
      <c r="E272" s="22">
        <f>IF(Notes!$B$3="Pay 1 Regular State Payment Budget",0,INDEX(Data[],MATCH($A272,Data[Dist],0),MATCH(E$4,Data[#Headers],0)))</f>
        <v>33766</v>
      </c>
      <c r="F272" s="22">
        <f>IF(OR(Notes!$B$3="Pay 1 Regular State Payment Budget",Notes!$B$3="Pay 2 Regular State Payment Budget"),0,INDEX(Data[],MATCH($A272,Data[Dist],0),MATCH(F$4,Data[#Headers],0)))</f>
        <v>0</v>
      </c>
      <c r="G272" s="22">
        <f>INDEX(Data[],MATCH($A272,Data[Dist],0),MATCH(G$4,Data[#Headers],0))</f>
        <v>7501339</v>
      </c>
    </row>
    <row r="273" spans="1:7" s="21" customFormat="1" ht="12.75" x14ac:dyDescent="0.2">
      <c r="A273" s="20" t="str">
        <f>Data!B269</f>
        <v>6094</v>
      </c>
      <c r="B273" s="21" t="str">
        <f>INDEX(Data[],MATCH($A273,Data[Dist],0),MATCH(B$4,Data[#Headers],0))</f>
        <v>Southeast Warren</v>
      </c>
      <c r="C273" s="22">
        <f>INDEX(Data[],MATCH($A273,Data[Dist],0),MATCH(C$4,Data[#Headers],0))</f>
        <v>3663700</v>
      </c>
      <c r="D273" s="22">
        <f>INDEX(Data[],MATCH($A273,Data[Dist],0),MATCH(D$4,Data[#Headers],0))</f>
        <v>448</v>
      </c>
      <c r="E273" s="22">
        <f>IF(Notes!$B$3="Pay 1 Regular State Payment Budget",0,INDEX(Data[],MATCH($A273,Data[Dist],0),MATCH(E$4,Data[#Headers],0)))</f>
        <v>13806</v>
      </c>
      <c r="F273" s="22">
        <f>IF(OR(Notes!$B$3="Pay 1 Regular State Payment Budget",Notes!$B$3="Pay 2 Regular State Payment Budget"),0,INDEX(Data[],MATCH($A273,Data[Dist],0),MATCH(F$4,Data[#Headers],0)))</f>
        <v>0</v>
      </c>
      <c r="G273" s="22">
        <f>INDEX(Data[],MATCH($A273,Data[Dist],0),MATCH(G$4,Data[#Headers],0))</f>
        <v>3649446</v>
      </c>
    </row>
    <row r="274" spans="1:7" s="21" customFormat="1" ht="12.75" x14ac:dyDescent="0.2">
      <c r="A274" s="20" t="str">
        <f>Data!B270</f>
        <v>6095</v>
      </c>
      <c r="B274" s="21" t="str">
        <f>INDEX(Data[],MATCH($A274,Data[Dist],0),MATCH(B$4,Data[#Headers],0))</f>
        <v>South Hamilton</v>
      </c>
      <c r="C274" s="22">
        <f>INDEX(Data[],MATCH($A274,Data[Dist],0),MATCH(C$4,Data[#Headers],0))</f>
        <v>3455682</v>
      </c>
      <c r="D274" s="22">
        <f>INDEX(Data[],MATCH($A274,Data[Dist],0),MATCH(D$4,Data[#Headers],0))</f>
        <v>614</v>
      </c>
      <c r="E274" s="22">
        <f>IF(Notes!$B$3="Pay 1 Regular State Payment Budget",0,INDEX(Data[],MATCH($A274,Data[Dist],0),MATCH(E$4,Data[#Headers],0)))</f>
        <v>15914</v>
      </c>
      <c r="F274" s="22">
        <f>IF(OR(Notes!$B$3="Pay 1 Regular State Payment Budget",Notes!$B$3="Pay 2 Regular State Payment Budget"),0,INDEX(Data[],MATCH($A274,Data[Dist],0),MATCH(F$4,Data[#Headers],0)))</f>
        <v>0</v>
      </c>
      <c r="G274" s="22">
        <f>INDEX(Data[],MATCH($A274,Data[Dist],0),MATCH(G$4,Data[#Headers],0))</f>
        <v>3439154</v>
      </c>
    </row>
    <row r="275" spans="1:7" s="21" customFormat="1" ht="12.75" x14ac:dyDescent="0.2">
      <c r="A275" s="20" t="str">
        <f>Data!B271</f>
        <v>6096</v>
      </c>
      <c r="B275" s="21" t="str">
        <f>INDEX(Data[],MATCH($A275,Data[Dist],0),MATCH(B$4,Data[#Headers],0))</f>
        <v>Southeast Webster-Grand</v>
      </c>
      <c r="C275" s="22">
        <f>INDEX(Data[],MATCH($A275,Data[Dist],0),MATCH(C$4,Data[#Headers],0))</f>
        <v>3396481</v>
      </c>
      <c r="D275" s="22">
        <f>INDEX(Data[],MATCH($A275,Data[Dist],0),MATCH(D$4,Data[#Headers],0))</f>
        <v>415</v>
      </c>
      <c r="E275" s="22">
        <f>IF(Notes!$B$3="Pay 1 Regular State Payment Budget",0,INDEX(Data[],MATCH($A275,Data[Dist],0),MATCH(E$4,Data[#Headers],0)))</f>
        <v>13738</v>
      </c>
      <c r="F275" s="22">
        <f>IF(OR(Notes!$B$3="Pay 1 Regular State Payment Budget",Notes!$B$3="Pay 2 Regular State Payment Budget"),0,INDEX(Data[],MATCH($A275,Data[Dist],0),MATCH(F$4,Data[#Headers],0)))</f>
        <v>0</v>
      </c>
      <c r="G275" s="22">
        <f>INDEX(Data[],MATCH($A275,Data[Dist],0),MATCH(G$4,Data[#Headers],0))</f>
        <v>3382328</v>
      </c>
    </row>
    <row r="276" spans="1:7" s="21" customFormat="1" ht="12.75" x14ac:dyDescent="0.2">
      <c r="A276" s="20" t="str">
        <f>Data!B272</f>
        <v>6097</v>
      </c>
      <c r="B276" s="21" t="str">
        <f>INDEX(Data[],MATCH($A276,Data[Dist],0),MATCH(B$4,Data[#Headers],0))</f>
        <v>South Page</v>
      </c>
      <c r="C276" s="22">
        <f>INDEX(Data[],MATCH($A276,Data[Dist],0),MATCH(C$4,Data[#Headers],0))</f>
        <v>1237384</v>
      </c>
      <c r="D276" s="22">
        <f>INDEX(Data[],MATCH($A276,Data[Dist],0),MATCH(D$4,Data[#Headers],0))</f>
        <v>199</v>
      </c>
      <c r="E276" s="22">
        <f>IF(Notes!$B$3="Pay 1 Regular State Payment Budget",0,INDEX(Data[],MATCH($A276,Data[Dist],0),MATCH(E$4,Data[#Headers],0)))</f>
        <v>5173</v>
      </c>
      <c r="F276" s="22">
        <f>IF(OR(Notes!$B$3="Pay 1 Regular State Payment Budget",Notes!$B$3="Pay 2 Regular State Payment Budget"),0,INDEX(Data[],MATCH($A276,Data[Dist],0),MATCH(F$4,Data[#Headers],0)))</f>
        <v>0</v>
      </c>
      <c r="G276" s="22">
        <f>INDEX(Data[],MATCH($A276,Data[Dist],0),MATCH(G$4,Data[#Headers],0))</f>
        <v>1232012</v>
      </c>
    </row>
    <row r="277" spans="1:7" s="21" customFormat="1" ht="12.75" x14ac:dyDescent="0.2">
      <c r="A277" s="20" t="str">
        <f>Data!B273</f>
        <v>6098</v>
      </c>
      <c r="B277" s="21" t="str">
        <f>INDEX(Data[],MATCH($A277,Data[Dist],0),MATCH(B$4,Data[#Headers],0))</f>
        <v>South Tama</v>
      </c>
      <c r="C277" s="22">
        <f>INDEX(Data[],MATCH($A277,Data[Dist],0),MATCH(C$4,Data[#Headers],0))</f>
        <v>10940389</v>
      </c>
      <c r="D277" s="22">
        <f>INDEX(Data[],MATCH($A277,Data[Dist],0),MATCH(D$4,Data[#Headers],0))</f>
        <v>1410</v>
      </c>
      <c r="E277" s="22">
        <f>IF(Notes!$B$3="Pay 1 Regular State Payment Budget",0,INDEX(Data[],MATCH($A277,Data[Dist],0),MATCH(E$4,Data[#Headers],0)))</f>
        <v>38492</v>
      </c>
      <c r="F277" s="22">
        <f>IF(OR(Notes!$B$3="Pay 1 Regular State Payment Budget",Notes!$B$3="Pay 2 Regular State Payment Budget"),0,INDEX(Data[],MATCH($A277,Data[Dist],0),MATCH(F$4,Data[#Headers],0)))</f>
        <v>0</v>
      </c>
      <c r="G277" s="22">
        <f>INDEX(Data[],MATCH($A277,Data[Dist],0),MATCH(G$4,Data[#Headers],0))</f>
        <v>10900487</v>
      </c>
    </row>
    <row r="278" spans="1:7" s="21" customFormat="1" ht="12.75" x14ac:dyDescent="0.2">
      <c r="A278" s="20" t="str">
        <f>Data!B274</f>
        <v>6100</v>
      </c>
      <c r="B278" s="21" t="str">
        <f>INDEX(Data[],MATCH($A278,Data[Dist],0),MATCH(B$4,Data[#Headers],0))</f>
        <v>South Winneshiek</v>
      </c>
      <c r="C278" s="22">
        <f>INDEX(Data[],MATCH($A278,Data[Dist],0),MATCH(C$4,Data[#Headers],0))</f>
        <v>2820501</v>
      </c>
      <c r="D278" s="22">
        <f>INDEX(Data[],MATCH($A278,Data[Dist],0),MATCH(D$4,Data[#Headers],0))</f>
        <v>796</v>
      </c>
      <c r="E278" s="22">
        <f>IF(Notes!$B$3="Pay 1 Regular State Payment Budget",0,INDEX(Data[],MATCH($A278,Data[Dist],0),MATCH(E$4,Data[#Headers],0)))</f>
        <v>12414</v>
      </c>
      <c r="F278" s="22">
        <f>IF(OR(Notes!$B$3="Pay 1 Regular State Payment Budget",Notes!$B$3="Pay 2 Regular State Payment Budget"),0,INDEX(Data[],MATCH($A278,Data[Dist],0),MATCH(F$4,Data[#Headers],0)))</f>
        <v>0</v>
      </c>
      <c r="G278" s="22">
        <f>INDEX(Data[],MATCH($A278,Data[Dist],0),MATCH(G$4,Data[#Headers],0))</f>
        <v>2807291</v>
      </c>
    </row>
    <row r="279" spans="1:7" s="21" customFormat="1" ht="12.75" x14ac:dyDescent="0.2">
      <c r="A279" s="20" t="str">
        <f>Data!B275</f>
        <v>6101</v>
      </c>
      <c r="B279" s="21" t="str">
        <f>INDEX(Data[],MATCH($A279,Data[Dist],0),MATCH(B$4,Data[#Headers],0))</f>
        <v>Southeast Polk</v>
      </c>
      <c r="C279" s="22">
        <f>INDEX(Data[],MATCH($A279,Data[Dist],0),MATCH(C$4,Data[#Headers],0))</f>
        <v>42898828</v>
      </c>
      <c r="D279" s="22">
        <f>INDEX(Data[],MATCH($A279,Data[Dist],0),MATCH(D$4,Data[#Headers],0))</f>
        <v>4378</v>
      </c>
      <c r="E279" s="22">
        <f>IF(Notes!$B$3="Pay 1 Regular State Payment Budget",0,INDEX(Data[],MATCH($A279,Data[Dist],0),MATCH(E$4,Data[#Headers],0)))</f>
        <v>170933</v>
      </c>
      <c r="F279" s="22">
        <f>IF(OR(Notes!$B$3="Pay 1 Regular State Payment Budget",Notes!$B$3="Pay 2 Regular State Payment Budget"),0,INDEX(Data[],MATCH($A279,Data[Dist],0),MATCH(F$4,Data[#Headers],0)))</f>
        <v>0</v>
      </c>
      <c r="G279" s="22">
        <f>INDEX(Data[],MATCH($A279,Data[Dist],0),MATCH(G$4,Data[#Headers],0))</f>
        <v>42723517</v>
      </c>
    </row>
    <row r="280" spans="1:7" s="21" customFormat="1" ht="12.75" x14ac:dyDescent="0.2">
      <c r="A280" s="20" t="str">
        <f>Data!B276</f>
        <v>6102</v>
      </c>
      <c r="B280" s="21" t="str">
        <f>INDEX(Data[],MATCH($A280,Data[Dist],0),MATCH(B$4,Data[#Headers],0))</f>
        <v>Spencer</v>
      </c>
      <c r="C280" s="22">
        <f>INDEX(Data[],MATCH($A280,Data[Dist],0),MATCH(C$4,Data[#Headers],0))</f>
        <v>11997331</v>
      </c>
      <c r="D280" s="22">
        <f>INDEX(Data[],MATCH($A280,Data[Dist],0),MATCH(D$4,Data[#Headers],0))</f>
        <v>2521</v>
      </c>
      <c r="E280" s="22">
        <f>IF(Notes!$B$3="Pay 1 Regular State Payment Budget",0,INDEX(Data[],MATCH($A280,Data[Dist],0),MATCH(E$4,Data[#Headers],0)))</f>
        <v>47385</v>
      </c>
      <c r="F280" s="22">
        <f>IF(OR(Notes!$B$3="Pay 1 Regular State Payment Budget",Notes!$B$3="Pay 2 Regular State Payment Budget"),0,INDEX(Data[],MATCH($A280,Data[Dist],0),MATCH(F$4,Data[#Headers],0)))</f>
        <v>0</v>
      </c>
      <c r="G280" s="22">
        <f>INDEX(Data[],MATCH($A280,Data[Dist],0),MATCH(G$4,Data[#Headers],0))</f>
        <v>11947425</v>
      </c>
    </row>
    <row r="281" spans="1:7" s="21" customFormat="1" ht="12.75" x14ac:dyDescent="0.2">
      <c r="A281" s="20" t="str">
        <f>Data!B277</f>
        <v>6120</v>
      </c>
      <c r="B281" s="21" t="str">
        <f>INDEX(Data[],MATCH($A281,Data[Dist],0),MATCH(B$4,Data[#Headers],0))</f>
        <v>Spirit Lake</v>
      </c>
      <c r="C281" s="22">
        <f>INDEX(Data[],MATCH($A281,Data[Dist],0),MATCH(C$4,Data[#Headers],0))</f>
        <v>2669270</v>
      </c>
      <c r="D281" s="22">
        <f>INDEX(Data[],MATCH($A281,Data[Dist],0),MATCH(D$4,Data[#Headers],0))</f>
        <v>896</v>
      </c>
      <c r="E281" s="22">
        <f>IF(Notes!$B$3="Pay 1 Regular State Payment Budget",0,INDEX(Data[],MATCH($A281,Data[Dist],0),MATCH(E$4,Data[#Headers],0)))</f>
        <v>29000</v>
      </c>
      <c r="F281" s="22">
        <f>IF(OR(Notes!$B$3="Pay 1 Regular State Payment Budget",Notes!$B$3="Pay 2 Regular State Payment Budget"),0,INDEX(Data[],MATCH($A281,Data[Dist],0),MATCH(F$4,Data[#Headers],0)))</f>
        <v>0</v>
      </c>
      <c r="G281" s="22">
        <f>INDEX(Data[],MATCH($A281,Data[Dist],0),MATCH(G$4,Data[#Headers],0))</f>
        <v>2639374</v>
      </c>
    </row>
    <row r="282" spans="1:7" s="21" customFormat="1" ht="12.75" x14ac:dyDescent="0.2">
      <c r="A282" s="20" t="str">
        <f>Data!B278</f>
        <v>6138</v>
      </c>
      <c r="B282" s="21" t="str">
        <f>INDEX(Data[],MATCH($A282,Data[Dist],0),MATCH(B$4,Data[#Headers],0))</f>
        <v>Springville</v>
      </c>
      <c r="C282" s="22">
        <f>INDEX(Data[],MATCH($A282,Data[Dist],0),MATCH(C$4,Data[#Headers],0))</f>
        <v>2451498</v>
      </c>
      <c r="D282" s="22">
        <f>INDEX(Data[],MATCH($A282,Data[Dist],0),MATCH(D$4,Data[#Headers],0))</f>
        <v>514</v>
      </c>
      <c r="E282" s="22">
        <f>IF(Notes!$B$3="Pay 1 Regular State Payment Budget",0,INDEX(Data[],MATCH($A282,Data[Dist],0),MATCH(E$4,Data[#Headers],0)))</f>
        <v>9744</v>
      </c>
      <c r="F282" s="22">
        <f>IF(OR(Notes!$B$3="Pay 1 Regular State Payment Budget",Notes!$B$3="Pay 2 Regular State Payment Budget"),0,INDEX(Data[],MATCH($A282,Data[Dist],0),MATCH(F$4,Data[#Headers],0)))</f>
        <v>0</v>
      </c>
      <c r="G282" s="22">
        <f>INDEX(Data[],MATCH($A282,Data[Dist],0),MATCH(G$4,Data[#Headers],0))</f>
        <v>2441240</v>
      </c>
    </row>
    <row r="283" spans="1:7" s="21" customFormat="1" ht="12.75" x14ac:dyDescent="0.2">
      <c r="A283" s="20" t="str">
        <f>Data!B279</f>
        <v>6165</v>
      </c>
      <c r="B283" s="21" t="str">
        <f>INDEX(Data[],MATCH($A283,Data[Dist],0),MATCH(B$4,Data[#Headers],0))</f>
        <v>Stanton</v>
      </c>
      <c r="C283" s="22">
        <f>INDEX(Data[],MATCH($A283,Data[Dist],0),MATCH(C$4,Data[#Headers],0))</f>
        <v>1238525</v>
      </c>
      <c r="D283" s="22">
        <f>INDEX(Data[],MATCH($A283,Data[Dist],0),MATCH(D$4,Data[#Headers],0))</f>
        <v>232</v>
      </c>
      <c r="E283" s="22">
        <f>IF(Notes!$B$3="Pay 1 Regular State Payment Budget",0,INDEX(Data[],MATCH($A283,Data[Dist],0),MATCH(E$4,Data[#Headers],0)))</f>
        <v>4748</v>
      </c>
      <c r="F283" s="22">
        <f>IF(OR(Notes!$B$3="Pay 1 Regular State Payment Budget",Notes!$B$3="Pay 2 Regular State Payment Budget"),0,INDEX(Data[],MATCH($A283,Data[Dist],0),MATCH(F$4,Data[#Headers],0)))</f>
        <v>0</v>
      </c>
      <c r="G283" s="22">
        <f>INDEX(Data[],MATCH($A283,Data[Dist],0),MATCH(G$4,Data[#Headers],0))</f>
        <v>1233545</v>
      </c>
    </row>
    <row r="284" spans="1:7" s="21" customFormat="1" ht="12.75" x14ac:dyDescent="0.2">
      <c r="A284" s="20" t="str">
        <f>Data!B280</f>
        <v>6175</v>
      </c>
      <c r="B284" s="21" t="str">
        <f>INDEX(Data[],MATCH($A284,Data[Dist],0),MATCH(B$4,Data[#Headers],0))</f>
        <v>Starmont</v>
      </c>
      <c r="C284" s="22">
        <f>INDEX(Data[],MATCH($A284,Data[Dist],0),MATCH(C$4,Data[#Headers],0))</f>
        <v>3708936</v>
      </c>
      <c r="D284" s="22">
        <f>INDEX(Data[],MATCH($A284,Data[Dist],0),MATCH(D$4,Data[#Headers],0))</f>
        <v>630</v>
      </c>
      <c r="E284" s="22">
        <f>IF(Notes!$B$3="Pay 1 Regular State Payment Budget",0,INDEX(Data[],MATCH($A284,Data[Dist],0),MATCH(E$4,Data[#Headers],0)))</f>
        <v>15472</v>
      </c>
      <c r="F284" s="22">
        <f>IF(OR(Notes!$B$3="Pay 1 Regular State Payment Budget",Notes!$B$3="Pay 2 Regular State Payment Budget"),0,INDEX(Data[],MATCH($A284,Data[Dist],0),MATCH(F$4,Data[#Headers],0)))</f>
        <v>0</v>
      </c>
      <c r="G284" s="22">
        <f>INDEX(Data[],MATCH($A284,Data[Dist],0),MATCH(G$4,Data[#Headers],0))</f>
        <v>3692834</v>
      </c>
    </row>
    <row r="285" spans="1:7" s="21" customFormat="1" ht="12.75" x14ac:dyDescent="0.2">
      <c r="A285" s="20" t="str">
        <f>Data!B281</f>
        <v>6219</v>
      </c>
      <c r="B285" s="21" t="str">
        <f>INDEX(Data[],MATCH($A285,Data[Dist],0),MATCH(B$4,Data[#Headers],0))</f>
        <v>Storm Lake</v>
      </c>
      <c r="C285" s="22">
        <f>INDEX(Data[],MATCH($A285,Data[Dist],0),MATCH(C$4,Data[#Headers],0))</f>
        <v>17622436</v>
      </c>
      <c r="D285" s="22">
        <f>INDEX(Data[],MATCH($A285,Data[Dist],0),MATCH(D$4,Data[#Headers],0))</f>
        <v>2156</v>
      </c>
      <c r="E285" s="22">
        <f>IF(Notes!$B$3="Pay 1 Regular State Payment Budget",0,INDEX(Data[],MATCH($A285,Data[Dist],0),MATCH(E$4,Data[#Headers],0)))</f>
        <v>58725</v>
      </c>
      <c r="F285" s="22">
        <f>IF(OR(Notes!$B$3="Pay 1 Regular State Payment Budget",Notes!$B$3="Pay 2 Regular State Payment Budget"),0,INDEX(Data[],MATCH($A285,Data[Dist],0),MATCH(F$4,Data[#Headers],0)))</f>
        <v>0</v>
      </c>
      <c r="G285" s="22">
        <f>INDEX(Data[],MATCH($A285,Data[Dist],0),MATCH(G$4,Data[#Headers],0))</f>
        <v>17561555</v>
      </c>
    </row>
    <row r="286" spans="1:7" s="21" customFormat="1" ht="12.75" x14ac:dyDescent="0.2">
      <c r="A286" s="20" t="str">
        <f>Data!B282</f>
        <v>6246</v>
      </c>
      <c r="B286" s="21" t="str">
        <f>INDEX(Data[],MATCH($A286,Data[Dist],0),MATCH(B$4,Data[#Headers],0))</f>
        <v>Stratford</v>
      </c>
      <c r="C286" s="22">
        <f>INDEX(Data[],MATCH($A286,Data[Dist],0),MATCH(C$4,Data[#Headers],0))</f>
        <v>976136</v>
      </c>
      <c r="D286" s="22">
        <f>INDEX(Data[],MATCH($A286,Data[Dist],0),MATCH(D$4,Data[#Headers],0))</f>
        <v>149</v>
      </c>
      <c r="E286" s="22">
        <f>IF(Notes!$B$3="Pay 1 Regular State Payment Budget",0,INDEX(Data[],MATCH($A286,Data[Dist],0),MATCH(E$4,Data[#Headers],0)))</f>
        <v>3767</v>
      </c>
      <c r="F286" s="22">
        <f>IF(OR(Notes!$B$3="Pay 1 Regular State Payment Budget",Notes!$B$3="Pay 2 Regular State Payment Budget"),0,INDEX(Data[],MATCH($A286,Data[Dist],0),MATCH(F$4,Data[#Headers],0)))</f>
        <v>0</v>
      </c>
      <c r="G286" s="22">
        <f>INDEX(Data[],MATCH($A286,Data[Dist],0),MATCH(G$4,Data[#Headers],0))</f>
        <v>972220</v>
      </c>
    </row>
    <row r="287" spans="1:7" s="21" customFormat="1" ht="12.75" x14ac:dyDescent="0.2">
      <c r="A287" s="20" t="str">
        <f>Data!B283</f>
        <v>6264</v>
      </c>
      <c r="B287" s="21" t="str">
        <f>INDEX(Data[],MATCH($A287,Data[Dist],0),MATCH(B$4,Data[#Headers],0))</f>
        <v>West Central Valley</v>
      </c>
      <c r="C287" s="22">
        <f>INDEX(Data[],MATCH($A287,Data[Dist],0),MATCH(C$4,Data[#Headers],0))</f>
        <v>5107283</v>
      </c>
      <c r="D287" s="22">
        <f>INDEX(Data[],MATCH($A287,Data[Dist],0),MATCH(D$4,Data[#Headers],0))</f>
        <v>896</v>
      </c>
      <c r="E287" s="22">
        <f>IF(Notes!$B$3="Pay 1 Regular State Payment Budget",0,INDEX(Data[],MATCH($A287,Data[Dist],0),MATCH(E$4,Data[#Headers],0)))</f>
        <v>22791</v>
      </c>
      <c r="F287" s="22">
        <f>IF(OR(Notes!$B$3="Pay 1 Regular State Payment Budget",Notes!$B$3="Pay 2 Regular State Payment Budget"),0,INDEX(Data[],MATCH($A287,Data[Dist],0),MATCH(F$4,Data[#Headers],0)))</f>
        <v>0</v>
      </c>
      <c r="G287" s="22">
        <f>INDEX(Data[],MATCH($A287,Data[Dist],0),MATCH(G$4,Data[#Headers],0))</f>
        <v>5083596</v>
      </c>
    </row>
    <row r="288" spans="1:7" s="21" customFormat="1" ht="12.75" x14ac:dyDescent="0.2">
      <c r="A288" s="20" t="str">
        <f>Data!B284</f>
        <v>6273</v>
      </c>
      <c r="B288" s="21" t="str">
        <f>INDEX(Data[],MATCH($A288,Data[Dist],0),MATCH(B$4,Data[#Headers],0))</f>
        <v>Sumner-Fredericksburg</v>
      </c>
      <c r="C288" s="22">
        <f>INDEX(Data[],MATCH($A288,Data[Dist],0),MATCH(C$4,Data[#Headers],0))</f>
        <v>4612736</v>
      </c>
      <c r="D288" s="22">
        <f>INDEX(Data[],MATCH($A288,Data[Dist],0),MATCH(D$4,Data[#Headers],0))</f>
        <v>680</v>
      </c>
      <c r="E288" s="22">
        <f>IF(Notes!$B$3="Pay 1 Regular State Payment Budget",0,INDEX(Data[],MATCH($A288,Data[Dist],0),MATCH(E$4,Data[#Headers],0)))</f>
        <v>20218</v>
      </c>
      <c r="F288" s="22">
        <f>IF(OR(Notes!$B$3="Pay 1 Regular State Payment Budget",Notes!$B$3="Pay 2 Regular State Payment Budget"),0,INDEX(Data[],MATCH($A288,Data[Dist],0),MATCH(F$4,Data[#Headers],0)))</f>
        <v>0</v>
      </c>
      <c r="G288" s="22">
        <f>INDEX(Data[],MATCH($A288,Data[Dist],0),MATCH(G$4,Data[#Headers],0))</f>
        <v>4591838</v>
      </c>
    </row>
    <row r="289" spans="1:7" s="21" customFormat="1" ht="12.75" x14ac:dyDescent="0.2">
      <c r="A289" s="20" t="str">
        <f>Data!B285</f>
        <v>6408</v>
      </c>
      <c r="B289" s="21" t="str">
        <f>INDEX(Data[],MATCH($A289,Data[Dist],0),MATCH(B$4,Data[#Headers],0))</f>
        <v>Tipton</v>
      </c>
      <c r="C289" s="22">
        <f>INDEX(Data[],MATCH($A289,Data[Dist],0),MATCH(C$4,Data[#Headers],0))</f>
        <v>5133014</v>
      </c>
      <c r="D289" s="22">
        <f>INDEX(Data[],MATCH($A289,Data[Dist],0),MATCH(D$4,Data[#Headers],0))</f>
        <v>796</v>
      </c>
      <c r="E289" s="22">
        <f>IF(Notes!$B$3="Pay 1 Regular State Payment Budget",0,INDEX(Data[],MATCH($A289,Data[Dist],0),MATCH(E$4,Data[#Headers],0)))</f>
        <v>22061</v>
      </c>
      <c r="F289" s="22">
        <f>IF(OR(Notes!$B$3="Pay 1 Regular State Payment Budget",Notes!$B$3="Pay 2 Regular State Payment Budget"),0,INDEX(Data[],MATCH($A289,Data[Dist],0),MATCH(F$4,Data[#Headers],0)))</f>
        <v>0</v>
      </c>
      <c r="G289" s="22">
        <f>INDEX(Data[],MATCH($A289,Data[Dist],0),MATCH(G$4,Data[#Headers],0))</f>
        <v>5110157</v>
      </c>
    </row>
    <row r="290" spans="1:7" s="21" customFormat="1" ht="12.75" x14ac:dyDescent="0.2">
      <c r="A290" s="20" t="str">
        <f>Data!B286</f>
        <v>6453</v>
      </c>
      <c r="B290" s="21" t="str">
        <f>INDEX(Data[],MATCH($A290,Data[Dist],0),MATCH(B$4,Data[#Headers],0))</f>
        <v>Treynor</v>
      </c>
      <c r="C290" s="22">
        <f>INDEX(Data[],MATCH($A290,Data[Dist],0),MATCH(C$4,Data[#Headers],0))</f>
        <v>3120456</v>
      </c>
      <c r="D290" s="22">
        <f>INDEX(Data[],MATCH($A290,Data[Dist],0),MATCH(D$4,Data[#Headers],0))</f>
        <v>0</v>
      </c>
      <c r="E290" s="22">
        <f>IF(Notes!$B$3="Pay 1 Regular State Payment Budget",0,INDEX(Data[],MATCH($A290,Data[Dist],0),MATCH(E$4,Data[#Headers],0)))</f>
        <v>15195</v>
      </c>
      <c r="F290" s="22">
        <f>IF(OR(Notes!$B$3="Pay 1 Regular State Payment Budget",Notes!$B$3="Pay 2 Regular State Payment Budget"),0,INDEX(Data[],MATCH($A290,Data[Dist],0),MATCH(F$4,Data[#Headers],0)))</f>
        <v>0</v>
      </c>
      <c r="G290" s="22">
        <f>INDEX(Data[],MATCH($A290,Data[Dist],0),MATCH(G$4,Data[#Headers],0))</f>
        <v>3105261</v>
      </c>
    </row>
    <row r="291" spans="1:7" s="21" customFormat="1" ht="12.75" x14ac:dyDescent="0.2">
      <c r="A291" s="20" t="str">
        <f>Data!B287</f>
        <v>6460</v>
      </c>
      <c r="B291" s="21" t="str">
        <f>INDEX(Data[],MATCH($A291,Data[Dist],0),MATCH(B$4,Data[#Headers],0))</f>
        <v>Tri-Center</v>
      </c>
      <c r="C291" s="22">
        <f>INDEX(Data[],MATCH($A291,Data[Dist],0),MATCH(C$4,Data[#Headers],0))</f>
        <v>3700193</v>
      </c>
      <c r="D291" s="22">
        <f>INDEX(Data[],MATCH($A291,Data[Dist],0),MATCH(D$4,Data[#Headers],0))</f>
        <v>531</v>
      </c>
      <c r="E291" s="22">
        <f>IF(Notes!$B$3="Pay 1 Regular State Payment Budget",0,INDEX(Data[],MATCH($A291,Data[Dist],0),MATCH(E$4,Data[#Headers],0)))</f>
        <v>16114</v>
      </c>
      <c r="F291" s="22">
        <f>IF(OR(Notes!$B$3="Pay 1 Regular State Payment Budget",Notes!$B$3="Pay 2 Regular State Payment Budget"),0,INDEX(Data[],MATCH($A291,Data[Dist],0),MATCH(F$4,Data[#Headers],0)))</f>
        <v>0</v>
      </c>
      <c r="G291" s="22">
        <f>INDEX(Data[],MATCH($A291,Data[Dist],0),MATCH(G$4,Data[#Headers],0))</f>
        <v>3683548</v>
      </c>
    </row>
    <row r="292" spans="1:7" s="21" customFormat="1" ht="12.75" x14ac:dyDescent="0.2">
      <c r="A292" s="20" t="str">
        <f>Data!B288</f>
        <v>6462</v>
      </c>
      <c r="B292" s="21" t="str">
        <f>INDEX(Data[],MATCH($A292,Data[Dist],0),MATCH(B$4,Data[#Headers],0))</f>
        <v>Tri-County</v>
      </c>
      <c r="C292" s="22">
        <f>INDEX(Data[],MATCH($A292,Data[Dist],0),MATCH(C$4,Data[#Headers],0))</f>
        <v>1647476</v>
      </c>
      <c r="D292" s="22">
        <f>INDEX(Data[],MATCH($A292,Data[Dist],0),MATCH(D$4,Data[#Headers],0))</f>
        <v>100</v>
      </c>
      <c r="E292" s="22">
        <f>IF(Notes!$B$3="Pay 1 Regular State Payment Budget",0,INDEX(Data[],MATCH($A292,Data[Dist],0),MATCH(E$4,Data[#Headers],0)))</f>
        <v>6879</v>
      </c>
      <c r="F292" s="22">
        <f>IF(OR(Notes!$B$3="Pay 1 Regular State Payment Budget",Notes!$B$3="Pay 2 Regular State Payment Budget"),0,INDEX(Data[],MATCH($A292,Data[Dist],0),MATCH(F$4,Data[#Headers],0)))</f>
        <v>0</v>
      </c>
      <c r="G292" s="22">
        <f>INDEX(Data[],MATCH($A292,Data[Dist],0),MATCH(G$4,Data[#Headers],0))</f>
        <v>1640497</v>
      </c>
    </row>
    <row r="293" spans="1:7" s="21" customFormat="1" ht="12.75" x14ac:dyDescent="0.2">
      <c r="A293" s="20" t="str">
        <f>Data!B289</f>
        <v>6471</v>
      </c>
      <c r="B293" s="21" t="str">
        <f>INDEX(Data[],MATCH($A293,Data[Dist],0),MATCH(B$4,Data[#Headers],0))</f>
        <v>Tripoli</v>
      </c>
      <c r="C293" s="22">
        <f>INDEX(Data[],MATCH($A293,Data[Dist],0),MATCH(C$4,Data[#Headers],0))</f>
        <v>2704795</v>
      </c>
      <c r="D293" s="22">
        <f>INDEX(Data[],MATCH($A293,Data[Dist],0),MATCH(D$4,Data[#Headers],0))</f>
        <v>365</v>
      </c>
      <c r="E293" s="22">
        <f>IF(Notes!$B$3="Pay 1 Regular State Payment Budget",0,INDEX(Data[],MATCH($A293,Data[Dist],0),MATCH(E$4,Data[#Headers],0)))</f>
        <v>10541</v>
      </c>
      <c r="F293" s="22">
        <f>IF(OR(Notes!$B$3="Pay 1 Regular State Payment Budget",Notes!$B$3="Pay 2 Regular State Payment Budget"),0,INDEX(Data[],MATCH($A293,Data[Dist],0),MATCH(F$4,Data[#Headers],0)))</f>
        <v>0</v>
      </c>
      <c r="G293" s="22">
        <f>INDEX(Data[],MATCH($A293,Data[Dist],0),MATCH(G$4,Data[#Headers],0))</f>
        <v>2693889</v>
      </c>
    </row>
    <row r="294" spans="1:7" s="21" customFormat="1" ht="12.75" x14ac:dyDescent="0.2">
      <c r="A294" s="20" t="str">
        <f>Data!B290</f>
        <v>6509</v>
      </c>
      <c r="B294" s="21" t="str">
        <f>INDEX(Data[],MATCH($A294,Data[Dist],0),MATCH(B$4,Data[#Headers],0))</f>
        <v>Turkey Valley</v>
      </c>
      <c r="C294" s="22">
        <f>INDEX(Data[],MATCH($A294,Data[Dist],0),MATCH(C$4,Data[#Headers],0))</f>
        <v>1888445</v>
      </c>
      <c r="D294" s="22">
        <f>INDEX(Data[],MATCH($A294,Data[Dist],0),MATCH(D$4,Data[#Headers],0))</f>
        <v>365</v>
      </c>
      <c r="E294" s="22">
        <f>IF(Notes!$B$3="Pay 1 Regular State Payment Budget",0,INDEX(Data[],MATCH($A294,Data[Dist],0),MATCH(E$4,Data[#Headers],0)))</f>
        <v>9010</v>
      </c>
      <c r="F294" s="22">
        <f>IF(OR(Notes!$B$3="Pay 1 Regular State Payment Budget",Notes!$B$3="Pay 2 Regular State Payment Budget"),0,INDEX(Data[],MATCH($A294,Data[Dist],0),MATCH(F$4,Data[#Headers],0)))</f>
        <v>0</v>
      </c>
      <c r="G294" s="22">
        <f>INDEX(Data[],MATCH($A294,Data[Dist],0),MATCH(G$4,Data[#Headers],0))</f>
        <v>1879070</v>
      </c>
    </row>
    <row r="295" spans="1:7" s="21" customFormat="1" ht="12.75" x14ac:dyDescent="0.2">
      <c r="A295" s="20" t="str">
        <f>Data!B291</f>
        <v>6512</v>
      </c>
      <c r="B295" s="21" t="str">
        <f>INDEX(Data[],MATCH($A295,Data[Dist],0),MATCH(B$4,Data[#Headers],0))</f>
        <v>Twin Cedars</v>
      </c>
      <c r="C295" s="22">
        <f>INDEX(Data[],MATCH($A295,Data[Dist],0),MATCH(C$4,Data[#Headers],0))</f>
        <v>2204311</v>
      </c>
      <c r="D295" s="22">
        <f>INDEX(Data[],MATCH($A295,Data[Dist],0),MATCH(D$4,Data[#Headers],0))</f>
        <v>249</v>
      </c>
      <c r="E295" s="22">
        <f>IF(Notes!$B$3="Pay 1 Regular State Payment Budget",0,INDEX(Data[],MATCH($A295,Data[Dist],0),MATCH(E$4,Data[#Headers],0)))</f>
        <v>8480</v>
      </c>
      <c r="F295" s="22">
        <f>IF(OR(Notes!$B$3="Pay 1 Regular State Payment Budget",Notes!$B$3="Pay 2 Regular State Payment Budget"),0,INDEX(Data[],MATCH($A295,Data[Dist],0),MATCH(F$4,Data[#Headers],0)))</f>
        <v>0</v>
      </c>
      <c r="G295" s="22">
        <f>INDEX(Data[],MATCH($A295,Data[Dist],0),MATCH(G$4,Data[#Headers],0))</f>
        <v>2195582</v>
      </c>
    </row>
    <row r="296" spans="1:7" s="21" customFormat="1" ht="12.75" x14ac:dyDescent="0.2">
      <c r="A296" s="20" t="str">
        <f>Data!B292</f>
        <v>6516</v>
      </c>
      <c r="B296" s="21" t="str">
        <f>INDEX(Data[],MATCH($A296,Data[Dist],0),MATCH(B$4,Data[#Headers],0))</f>
        <v>Twin Rivers</v>
      </c>
      <c r="C296" s="22">
        <f>INDEX(Data[],MATCH($A296,Data[Dist],0),MATCH(C$4,Data[#Headers],0))</f>
        <v>560887</v>
      </c>
      <c r="D296" s="22">
        <f>INDEX(Data[],MATCH($A296,Data[Dist],0),MATCH(D$4,Data[#Headers],0))</f>
        <v>100</v>
      </c>
      <c r="E296" s="22">
        <f>IF(Notes!$B$3="Pay 1 Regular State Payment Budget",0,INDEX(Data[],MATCH($A296,Data[Dist],0),MATCH(E$4,Data[#Headers],0)))</f>
        <v>3572</v>
      </c>
      <c r="F296" s="22">
        <f>IF(OR(Notes!$B$3="Pay 1 Regular State Payment Budget",Notes!$B$3="Pay 2 Regular State Payment Budget"),0,INDEX(Data[],MATCH($A296,Data[Dist],0),MATCH(F$4,Data[#Headers],0)))</f>
        <v>0</v>
      </c>
      <c r="G296" s="22">
        <f>INDEX(Data[],MATCH($A296,Data[Dist],0),MATCH(G$4,Data[#Headers],0))</f>
        <v>557215</v>
      </c>
    </row>
    <row r="297" spans="1:7" s="21" customFormat="1" ht="12.75" x14ac:dyDescent="0.2">
      <c r="A297" s="20" t="str">
        <f>Data!B293</f>
        <v>6534</v>
      </c>
      <c r="B297" s="21" t="str">
        <f>INDEX(Data[],MATCH($A297,Data[Dist],0),MATCH(B$4,Data[#Headers],0))</f>
        <v>Underwood</v>
      </c>
      <c r="C297" s="22">
        <f>INDEX(Data[],MATCH($A297,Data[Dist],0),MATCH(C$4,Data[#Headers],0))</f>
        <v>3934079</v>
      </c>
      <c r="D297" s="22">
        <f>INDEX(Data[],MATCH($A297,Data[Dist],0),MATCH(D$4,Data[#Headers],0))</f>
        <v>663</v>
      </c>
      <c r="E297" s="22">
        <f>IF(Notes!$B$3="Pay 1 Regular State Payment Budget",0,INDEX(Data[],MATCH($A297,Data[Dist],0),MATCH(E$4,Data[#Headers],0)))</f>
        <v>17510</v>
      </c>
      <c r="F297" s="22">
        <f>IF(OR(Notes!$B$3="Pay 1 Regular State Payment Budget",Notes!$B$3="Pay 2 Regular State Payment Budget"),0,INDEX(Data[],MATCH($A297,Data[Dist],0),MATCH(F$4,Data[#Headers],0)))</f>
        <v>0</v>
      </c>
      <c r="G297" s="22">
        <f>INDEX(Data[],MATCH($A297,Data[Dist],0),MATCH(G$4,Data[#Headers],0))</f>
        <v>3915906</v>
      </c>
    </row>
    <row r="298" spans="1:7" s="21" customFormat="1" ht="12.75" x14ac:dyDescent="0.2">
      <c r="A298" s="20" t="str">
        <f>Data!B294</f>
        <v>6561</v>
      </c>
      <c r="B298" s="21" t="str">
        <f>INDEX(Data[],MATCH($A298,Data[Dist],0),MATCH(B$4,Data[#Headers],0))</f>
        <v>United</v>
      </c>
      <c r="C298" s="22">
        <f>INDEX(Data[],MATCH($A298,Data[Dist],0),MATCH(C$4,Data[#Headers],0))</f>
        <v>1504485</v>
      </c>
      <c r="D298" s="22">
        <f>INDEX(Data[],MATCH($A298,Data[Dist],0),MATCH(D$4,Data[#Headers],0))</f>
        <v>862</v>
      </c>
      <c r="E298" s="22">
        <f>IF(Notes!$B$3="Pay 1 Regular State Payment Budget",0,INDEX(Data[],MATCH($A298,Data[Dist],0),MATCH(E$4,Data[#Headers],0)))</f>
        <v>9320</v>
      </c>
      <c r="F298" s="22">
        <f>IF(OR(Notes!$B$3="Pay 1 Regular State Payment Budget",Notes!$B$3="Pay 2 Regular State Payment Budget"),0,INDEX(Data[],MATCH($A298,Data[Dist],0),MATCH(F$4,Data[#Headers],0)))</f>
        <v>0</v>
      </c>
      <c r="G298" s="22">
        <f>INDEX(Data[],MATCH($A298,Data[Dist],0),MATCH(G$4,Data[#Headers],0))</f>
        <v>1494303</v>
      </c>
    </row>
    <row r="299" spans="1:7" s="21" customFormat="1" ht="12.75" x14ac:dyDescent="0.2">
      <c r="A299" s="20" t="str">
        <f>Data!B295</f>
        <v>6579</v>
      </c>
      <c r="B299" s="21" t="str">
        <f>INDEX(Data[],MATCH($A299,Data[Dist],0),MATCH(B$4,Data[#Headers],0))</f>
        <v>Urbandale</v>
      </c>
      <c r="C299" s="22">
        <f>INDEX(Data[],MATCH($A299,Data[Dist],0),MATCH(C$4,Data[#Headers],0))</f>
        <v>19554018</v>
      </c>
      <c r="D299" s="22">
        <f>INDEX(Data[],MATCH($A299,Data[Dist],0),MATCH(D$4,Data[#Headers],0))</f>
        <v>3284</v>
      </c>
      <c r="E299" s="22">
        <f>IF(Notes!$B$3="Pay 1 Regular State Payment Budget",0,INDEX(Data[],MATCH($A299,Data[Dist],0),MATCH(E$4,Data[#Headers],0)))</f>
        <v>85085</v>
      </c>
      <c r="F299" s="22">
        <f>IF(OR(Notes!$B$3="Pay 1 Regular State Payment Budget",Notes!$B$3="Pay 2 Regular State Payment Budget"),0,INDEX(Data[],MATCH($A299,Data[Dist],0),MATCH(F$4,Data[#Headers],0)))</f>
        <v>0</v>
      </c>
      <c r="G299" s="22">
        <f>INDEX(Data[],MATCH($A299,Data[Dist],0),MATCH(G$4,Data[#Headers],0))</f>
        <v>19465649</v>
      </c>
    </row>
    <row r="300" spans="1:7" s="21" customFormat="1" ht="12.75" x14ac:dyDescent="0.2">
      <c r="A300" s="20" t="str">
        <f>Data!B296</f>
        <v>6592</v>
      </c>
      <c r="B300" s="21" t="str">
        <f>INDEX(Data[],MATCH($A300,Data[Dist],0),MATCH(B$4,Data[#Headers],0))</f>
        <v>Van Buren</v>
      </c>
      <c r="C300" s="22">
        <f>INDEX(Data[],MATCH($A300,Data[Dist],0),MATCH(C$4,Data[#Headers],0))</f>
        <v>4033738</v>
      </c>
      <c r="D300" s="22">
        <f>INDEX(Data[],MATCH($A300,Data[Dist],0),MATCH(D$4,Data[#Headers],0))</f>
        <v>713</v>
      </c>
      <c r="E300" s="22">
        <f>IF(Notes!$B$3="Pay 1 Regular State Payment Budget",0,INDEX(Data[],MATCH($A300,Data[Dist],0),MATCH(E$4,Data[#Headers],0)))</f>
        <v>15924</v>
      </c>
      <c r="F300" s="22">
        <f>IF(OR(Notes!$B$3="Pay 1 Regular State Payment Budget",Notes!$B$3="Pay 2 Regular State Payment Budget"),0,INDEX(Data[],MATCH($A300,Data[Dist],0),MATCH(F$4,Data[#Headers],0)))</f>
        <v>0</v>
      </c>
      <c r="G300" s="22">
        <f>INDEX(Data[],MATCH($A300,Data[Dist],0),MATCH(G$4,Data[#Headers],0))</f>
        <v>4017101</v>
      </c>
    </row>
    <row r="301" spans="1:7" s="21" customFormat="1" ht="12.75" x14ac:dyDescent="0.2">
      <c r="A301" s="20" t="str">
        <f>Data!B297</f>
        <v>6615</v>
      </c>
      <c r="B301" s="21" t="str">
        <f>INDEX(Data[],MATCH($A301,Data[Dist],0),MATCH(B$4,Data[#Headers],0))</f>
        <v>Van Meter</v>
      </c>
      <c r="C301" s="22">
        <f>INDEX(Data[],MATCH($A301,Data[Dist],0),MATCH(C$4,Data[#Headers],0))</f>
        <v>3863913</v>
      </c>
      <c r="D301" s="22">
        <f>INDEX(Data[],MATCH($A301,Data[Dist],0),MATCH(D$4,Data[#Headers],0))</f>
        <v>0</v>
      </c>
      <c r="E301" s="22">
        <f>IF(Notes!$B$3="Pay 1 Regular State Payment Budget",0,INDEX(Data[],MATCH($A301,Data[Dist],0),MATCH(E$4,Data[#Headers],0)))</f>
        <v>17293</v>
      </c>
      <c r="F301" s="22">
        <f>IF(OR(Notes!$B$3="Pay 1 Regular State Payment Budget",Notes!$B$3="Pay 2 Regular State Payment Budget"),0,INDEX(Data[],MATCH($A301,Data[Dist],0),MATCH(F$4,Data[#Headers],0)))</f>
        <v>0</v>
      </c>
      <c r="G301" s="22">
        <f>INDEX(Data[],MATCH($A301,Data[Dist],0),MATCH(G$4,Data[#Headers],0))</f>
        <v>3846620</v>
      </c>
    </row>
    <row r="302" spans="1:7" s="21" customFormat="1" ht="12.75" x14ac:dyDescent="0.2">
      <c r="A302" s="20" t="str">
        <f>Data!B298</f>
        <v>6651</v>
      </c>
      <c r="B302" s="21" t="str">
        <f>INDEX(Data[],MATCH($A302,Data[Dist],0),MATCH(B$4,Data[#Headers],0))</f>
        <v>Villisca</v>
      </c>
      <c r="C302" s="22">
        <f>INDEX(Data[],MATCH($A302,Data[Dist],0),MATCH(C$4,Data[#Headers],0))</f>
        <v>1630331</v>
      </c>
      <c r="D302" s="22">
        <f>INDEX(Data[],MATCH($A302,Data[Dist],0),MATCH(D$4,Data[#Headers],0))</f>
        <v>199</v>
      </c>
      <c r="E302" s="22">
        <f>IF(Notes!$B$3="Pay 1 Regular State Payment Budget",0,INDEX(Data[],MATCH($A302,Data[Dist],0),MATCH(E$4,Data[#Headers],0)))</f>
        <v>7444</v>
      </c>
      <c r="F302" s="22">
        <f>IF(OR(Notes!$B$3="Pay 1 Regular State Payment Budget",Notes!$B$3="Pay 2 Regular State Payment Budget"),0,INDEX(Data[],MATCH($A302,Data[Dist],0),MATCH(F$4,Data[#Headers],0)))</f>
        <v>0</v>
      </c>
      <c r="G302" s="22">
        <f>INDEX(Data[],MATCH($A302,Data[Dist],0),MATCH(G$4,Data[#Headers],0))</f>
        <v>1622688</v>
      </c>
    </row>
    <row r="303" spans="1:7" s="21" customFormat="1" ht="12.75" x14ac:dyDescent="0.2">
      <c r="A303" s="20" t="str">
        <f>Data!B299</f>
        <v>6660</v>
      </c>
      <c r="B303" s="21" t="str">
        <f>INDEX(Data[],MATCH($A303,Data[Dist],0),MATCH(B$4,Data[#Headers],0))</f>
        <v>Vinton-Shellsburg</v>
      </c>
      <c r="C303" s="22">
        <f>INDEX(Data[],MATCH($A303,Data[Dist],0),MATCH(C$4,Data[#Headers],0))</f>
        <v>9444090</v>
      </c>
      <c r="D303" s="22">
        <f>INDEX(Data[],MATCH($A303,Data[Dist],0),MATCH(D$4,Data[#Headers],0))</f>
        <v>962</v>
      </c>
      <c r="E303" s="22">
        <f>IF(Notes!$B$3="Pay 1 Regular State Payment Budget",0,INDEX(Data[],MATCH($A303,Data[Dist],0),MATCH(E$4,Data[#Headers],0)))</f>
        <v>38567</v>
      </c>
      <c r="F303" s="22">
        <f>IF(OR(Notes!$B$3="Pay 1 Regular State Payment Budget",Notes!$B$3="Pay 2 Regular State Payment Budget"),0,INDEX(Data[],MATCH($A303,Data[Dist],0),MATCH(F$4,Data[#Headers],0)))</f>
        <v>0</v>
      </c>
      <c r="G303" s="22">
        <f>INDEX(Data[],MATCH($A303,Data[Dist],0),MATCH(G$4,Data[#Headers],0))</f>
        <v>9404561</v>
      </c>
    </row>
    <row r="304" spans="1:7" s="21" customFormat="1" ht="12.75" x14ac:dyDescent="0.2">
      <c r="A304" s="20" t="str">
        <f>Data!B300</f>
        <v>6700</v>
      </c>
      <c r="B304" s="21" t="str">
        <f>INDEX(Data[],MATCH($A304,Data[Dist],0),MATCH(B$4,Data[#Headers],0))</f>
        <v>Waco</v>
      </c>
      <c r="C304" s="22">
        <f>INDEX(Data[],MATCH($A304,Data[Dist],0),MATCH(C$4,Data[#Headers],0))</f>
        <v>3136094</v>
      </c>
      <c r="D304" s="22">
        <f>INDEX(Data[],MATCH($A304,Data[Dist],0),MATCH(D$4,Data[#Headers],0))</f>
        <v>647</v>
      </c>
      <c r="E304" s="22">
        <f>IF(Notes!$B$3="Pay 1 Regular State Payment Budget",0,INDEX(Data[],MATCH($A304,Data[Dist],0),MATCH(E$4,Data[#Headers],0)))</f>
        <v>11987</v>
      </c>
      <c r="F304" s="22">
        <f>IF(OR(Notes!$B$3="Pay 1 Regular State Payment Budget",Notes!$B$3="Pay 2 Regular State Payment Budget"),0,INDEX(Data[],MATCH($A304,Data[Dist],0),MATCH(F$4,Data[#Headers],0)))</f>
        <v>0</v>
      </c>
      <c r="G304" s="22">
        <f>INDEX(Data[],MATCH($A304,Data[Dist],0),MATCH(G$4,Data[#Headers],0))</f>
        <v>3123460</v>
      </c>
    </row>
    <row r="305" spans="1:7" s="21" customFormat="1" ht="12.75" x14ac:dyDescent="0.2">
      <c r="A305" s="20" t="str">
        <f>Data!B301</f>
        <v>6741</v>
      </c>
      <c r="B305" s="21" t="str">
        <f>INDEX(Data[],MATCH($A305,Data[Dist],0),MATCH(B$4,Data[#Headers],0))</f>
        <v>East Sac County</v>
      </c>
      <c r="C305" s="22">
        <f>INDEX(Data[],MATCH($A305,Data[Dist],0),MATCH(C$4,Data[#Headers],0))</f>
        <v>4535302</v>
      </c>
      <c r="D305" s="22">
        <f>INDEX(Data[],MATCH($A305,Data[Dist],0),MATCH(D$4,Data[#Headers],0))</f>
        <v>945</v>
      </c>
      <c r="E305" s="22">
        <f>IF(Notes!$B$3="Pay 1 Regular State Payment Budget",0,INDEX(Data[],MATCH($A305,Data[Dist],0),MATCH(E$4,Data[#Headers],0)))</f>
        <v>21130</v>
      </c>
      <c r="F305" s="22">
        <f>IF(OR(Notes!$B$3="Pay 1 Regular State Payment Budget",Notes!$B$3="Pay 2 Regular State Payment Budget"),0,INDEX(Data[],MATCH($A305,Data[Dist],0),MATCH(F$4,Data[#Headers],0)))</f>
        <v>51097</v>
      </c>
      <c r="G305" s="22">
        <f>INDEX(Data[],MATCH($A305,Data[Dist],0),MATCH(G$4,Data[#Headers],0))</f>
        <v>4462130</v>
      </c>
    </row>
    <row r="306" spans="1:7" s="21" customFormat="1" ht="12.75" x14ac:dyDescent="0.2">
      <c r="A306" s="20" t="str">
        <f>Data!B302</f>
        <v>6759</v>
      </c>
      <c r="B306" s="21" t="str">
        <f>INDEX(Data[],MATCH($A306,Data[Dist],0),MATCH(B$4,Data[#Headers],0))</f>
        <v>Wapello</v>
      </c>
      <c r="C306" s="22">
        <f>INDEX(Data[],MATCH($A306,Data[Dist],0),MATCH(C$4,Data[#Headers],0))</f>
        <v>4030594</v>
      </c>
      <c r="D306" s="22">
        <f>INDEX(Data[],MATCH($A306,Data[Dist],0),MATCH(D$4,Data[#Headers],0))</f>
        <v>580</v>
      </c>
      <c r="E306" s="22">
        <f>IF(Notes!$B$3="Pay 1 Regular State Payment Budget",0,INDEX(Data[],MATCH($A306,Data[Dist],0),MATCH(E$4,Data[#Headers],0)))</f>
        <v>15442</v>
      </c>
      <c r="F306" s="22">
        <f>IF(OR(Notes!$B$3="Pay 1 Regular State Payment Budget",Notes!$B$3="Pay 2 Regular State Payment Budget"),0,INDEX(Data[],MATCH($A306,Data[Dist],0),MATCH(F$4,Data[#Headers],0)))</f>
        <v>0</v>
      </c>
      <c r="G306" s="22">
        <f>INDEX(Data[],MATCH($A306,Data[Dist],0),MATCH(G$4,Data[#Headers],0))</f>
        <v>4014572</v>
      </c>
    </row>
    <row r="307" spans="1:7" s="21" customFormat="1" ht="12.75" x14ac:dyDescent="0.2">
      <c r="A307" s="20" t="str">
        <f>Data!B303</f>
        <v>6762</v>
      </c>
      <c r="B307" s="21" t="str">
        <f>INDEX(Data[],MATCH($A307,Data[Dist],0),MATCH(B$4,Data[#Headers],0))</f>
        <v>Wapsie Valley</v>
      </c>
      <c r="C307" s="22">
        <f>INDEX(Data[],MATCH($A307,Data[Dist],0),MATCH(C$4,Data[#Headers],0))</f>
        <v>4221732</v>
      </c>
      <c r="D307" s="22">
        <f>INDEX(Data[],MATCH($A307,Data[Dist],0),MATCH(D$4,Data[#Headers],0))</f>
        <v>564</v>
      </c>
      <c r="E307" s="22">
        <f>IF(Notes!$B$3="Pay 1 Regular State Payment Budget",0,INDEX(Data[],MATCH($A307,Data[Dist],0),MATCH(E$4,Data[#Headers],0)))</f>
        <v>16991</v>
      </c>
      <c r="F307" s="22">
        <f>IF(OR(Notes!$B$3="Pay 1 Regular State Payment Budget",Notes!$B$3="Pay 2 Regular State Payment Budget"),0,INDEX(Data[],MATCH($A307,Data[Dist],0),MATCH(F$4,Data[#Headers],0)))</f>
        <v>0</v>
      </c>
      <c r="G307" s="22">
        <f>INDEX(Data[],MATCH($A307,Data[Dist],0),MATCH(G$4,Data[#Headers],0))</f>
        <v>4204177</v>
      </c>
    </row>
    <row r="308" spans="1:7" s="21" customFormat="1" ht="12.75" x14ac:dyDescent="0.2">
      <c r="A308" s="20" t="str">
        <f>Data!B304</f>
        <v>6768</v>
      </c>
      <c r="B308" s="21" t="str">
        <f>INDEX(Data[],MATCH($A308,Data[Dist],0),MATCH(B$4,Data[#Headers],0))</f>
        <v>Washington</v>
      </c>
      <c r="C308" s="22">
        <f>INDEX(Data[],MATCH($A308,Data[Dist],0),MATCH(C$4,Data[#Headers],0))</f>
        <v>11954847</v>
      </c>
      <c r="D308" s="22">
        <f>INDEX(Data[],MATCH($A308,Data[Dist],0),MATCH(D$4,Data[#Headers],0))</f>
        <v>1725</v>
      </c>
      <c r="E308" s="22">
        <f>IF(Notes!$B$3="Pay 1 Regular State Payment Budget",0,INDEX(Data[],MATCH($A308,Data[Dist],0),MATCH(E$4,Data[#Headers],0)))</f>
        <v>44415</v>
      </c>
      <c r="F308" s="22">
        <f>IF(OR(Notes!$B$3="Pay 1 Regular State Payment Budget",Notes!$B$3="Pay 2 Regular State Payment Budget"),0,INDEX(Data[],MATCH($A308,Data[Dist],0),MATCH(F$4,Data[#Headers],0)))</f>
        <v>0</v>
      </c>
      <c r="G308" s="22">
        <f>INDEX(Data[],MATCH($A308,Data[Dist],0),MATCH(G$4,Data[#Headers],0))</f>
        <v>11908707</v>
      </c>
    </row>
    <row r="309" spans="1:7" s="21" customFormat="1" ht="12.75" x14ac:dyDescent="0.2">
      <c r="A309" s="20" t="str">
        <f>Data!B305</f>
        <v>6795</v>
      </c>
      <c r="B309" s="21" t="str">
        <f>INDEX(Data[],MATCH($A309,Data[Dist],0),MATCH(B$4,Data[#Headers],0))</f>
        <v>Waterloo</v>
      </c>
      <c r="C309" s="22">
        <f>INDEX(Data[],MATCH($A309,Data[Dist],0),MATCH(C$4,Data[#Headers],0))</f>
        <v>78321047</v>
      </c>
      <c r="D309" s="22">
        <f>INDEX(Data[],MATCH($A309,Data[Dist],0),MATCH(D$4,Data[#Headers],0))</f>
        <v>9570</v>
      </c>
      <c r="E309" s="22">
        <f>IF(Notes!$B$3="Pay 1 Regular State Payment Budget",0,INDEX(Data[],MATCH($A309,Data[Dist],0),MATCH(E$4,Data[#Headers],0)))</f>
        <v>271740</v>
      </c>
      <c r="F309" s="22">
        <f>IF(OR(Notes!$B$3="Pay 1 Regular State Payment Budget",Notes!$B$3="Pay 2 Regular State Payment Budget"),0,INDEX(Data[],MATCH($A309,Data[Dist],0),MATCH(F$4,Data[#Headers],0)))</f>
        <v>0</v>
      </c>
      <c r="G309" s="22">
        <f>INDEX(Data[],MATCH($A309,Data[Dist],0),MATCH(G$4,Data[#Headers],0))</f>
        <v>78039737</v>
      </c>
    </row>
    <row r="310" spans="1:7" s="21" customFormat="1" ht="12.75" x14ac:dyDescent="0.2">
      <c r="A310" s="20" t="str">
        <f>Data!B306</f>
        <v>6822</v>
      </c>
      <c r="B310" s="21" t="str">
        <f>INDEX(Data[],MATCH($A310,Data[Dist],0),MATCH(B$4,Data[#Headers],0))</f>
        <v>Waukee</v>
      </c>
      <c r="C310" s="22">
        <f>INDEX(Data[],MATCH($A310,Data[Dist],0),MATCH(C$4,Data[#Headers],0))</f>
        <v>56455089</v>
      </c>
      <c r="D310" s="22">
        <f>INDEX(Data[],MATCH($A310,Data[Dist],0),MATCH(D$4,Data[#Headers],0))</f>
        <v>0</v>
      </c>
      <c r="E310" s="22">
        <f>IF(Notes!$B$3="Pay 1 Regular State Payment Budget",0,INDEX(Data[],MATCH($A310,Data[Dist],0),MATCH(E$4,Data[#Headers],0)))</f>
        <v>264768</v>
      </c>
      <c r="F310" s="22">
        <f>IF(OR(Notes!$B$3="Pay 1 Regular State Payment Budget",Notes!$B$3="Pay 2 Regular State Payment Budget"),0,INDEX(Data[],MATCH($A310,Data[Dist],0),MATCH(F$4,Data[#Headers],0)))</f>
        <v>0</v>
      </c>
      <c r="G310" s="22">
        <f>INDEX(Data[],MATCH($A310,Data[Dist],0),MATCH(G$4,Data[#Headers],0))</f>
        <v>56190321</v>
      </c>
    </row>
    <row r="311" spans="1:7" s="21" customFormat="1" ht="12.75" x14ac:dyDescent="0.2">
      <c r="A311" s="20" t="str">
        <f>Data!B307</f>
        <v>6840</v>
      </c>
      <c r="B311" s="21" t="str">
        <f>INDEX(Data[],MATCH($A311,Data[Dist],0),MATCH(B$4,Data[#Headers],0))</f>
        <v>Waverly-Shell Rock</v>
      </c>
      <c r="C311" s="22">
        <f>INDEX(Data[],MATCH($A311,Data[Dist],0),MATCH(C$4,Data[#Headers],0))</f>
        <v>12367953</v>
      </c>
      <c r="D311" s="22">
        <f>INDEX(Data[],MATCH($A311,Data[Dist],0),MATCH(D$4,Data[#Headers],0))</f>
        <v>1675</v>
      </c>
      <c r="E311" s="22">
        <f>IF(Notes!$B$3="Pay 1 Regular State Payment Budget",0,INDEX(Data[],MATCH($A311,Data[Dist],0),MATCH(E$4,Data[#Headers],0)))</f>
        <v>51943</v>
      </c>
      <c r="F311" s="22">
        <f>IF(OR(Notes!$B$3="Pay 1 Regular State Payment Budget",Notes!$B$3="Pay 2 Regular State Payment Budget"),0,INDEX(Data[],MATCH($A311,Data[Dist],0),MATCH(F$4,Data[#Headers],0)))</f>
        <v>0</v>
      </c>
      <c r="G311" s="22">
        <f>INDEX(Data[],MATCH($A311,Data[Dist],0),MATCH(G$4,Data[#Headers],0))</f>
        <v>12314335</v>
      </c>
    </row>
    <row r="312" spans="1:7" s="21" customFormat="1" ht="12.75" x14ac:dyDescent="0.2">
      <c r="A312" s="20" t="str">
        <f>Data!B308</f>
        <v>6854</v>
      </c>
      <c r="B312" s="21" t="str">
        <f>INDEX(Data[],MATCH($A312,Data[Dist],0),MATCH(B$4,Data[#Headers],0))</f>
        <v>Wayne</v>
      </c>
      <c r="C312" s="22">
        <f>INDEX(Data[],MATCH($A312,Data[Dist],0),MATCH(C$4,Data[#Headers],0))</f>
        <v>3348915</v>
      </c>
      <c r="D312" s="22">
        <f>INDEX(Data[],MATCH($A312,Data[Dist],0),MATCH(D$4,Data[#Headers],0))</f>
        <v>813</v>
      </c>
      <c r="E312" s="22">
        <f>IF(Notes!$B$3="Pay 1 Regular State Payment Budget",0,INDEX(Data[],MATCH($A312,Data[Dist],0),MATCH(E$4,Data[#Headers],0)))</f>
        <v>14378</v>
      </c>
      <c r="F312" s="22">
        <f>IF(OR(Notes!$B$3="Pay 1 Regular State Payment Budget",Notes!$B$3="Pay 2 Regular State Payment Budget"),0,INDEX(Data[],MATCH($A312,Data[Dist],0),MATCH(F$4,Data[#Headers],0)))</f>
        <v>0</v>
      </c>
      <c r="G312" s="22">
        <f>INDEX(Data[],MATCH($A312,Data[Dist],0),MATCH(G$4,Data[#Headers],0))</f>
        <v>3333724</v>
      </c>
    </row>
    <row r="313" spans="1:7" s="21" customFormat="1" ht="12.75" x14ac:dyDescent="0.2">
      <c r="A313" s="20" t="str">
        <f>Data!B309</f>
        <v>6867</v>
      </c>
      <c r="B313" s="21" t="str">
        <f>INDEX(Data[],MATCH($A313,Data[Dist],0),MATCH(B$4,Data[#Headers],0))</f>
        <v>Webster City</v>
      </c>
      <c r="C313" s="22">
        <f>INDEX(Data[],MATCH($A313,Data[Dist],0),MATCH(C$4,Data[#Headers],0))</f>
        <v>10702738</v>
      </c>
      <c r="D313" s="22">
        <f>INDEX(Data[],MATCH($A313,Data[Dist],0),MATCH(D$4,Data[#Headers],0))</f>
        <v>1609</v>
      </c>
      <c r="E313" s="22">
        <f>IF(Notes!$B$3="Pay 1 Regular State Payment Budget",0,INDEX(Data[],MATCH($A313,Data[Dist],0),MATCH(E$4,Data[#Headers],0)))</f>
        <v>37641</v>
      </c>
      <c r="F313" s="22">
        <f>IF(OR(Notes!$B$3="Pay 1 Regular State Payment Budget",Notes!$B$3="Pay 2 Regular State Payment Budget"),0,INDEX(Data[],MATCH($A313,Data[Dist],0),MATCH(F$4,Data[#Headers],0)))</f>
        <v>0</v>
      </c>
      <c r="G313" s="22">
        <f>INDEX(Data[],MATCH($A313,Data[Dist],0),MATCH(G$4,Data[#Headers],0))</f>
        <v>10663488</v>
      </c>
    </row>
    <row r="314" spans="1:7" s="21" customFormat="1" ht="12.75" x14ac:dyDescent="0.2">
      <c r="A314" s="20" t="str">
        <f>Data!B310</f>
        <v>6921</v>
      </c>
      <c r="B314" s="21" t="str">
        <f>INDEX(Data[],MATCH($A314,Data[Dist],0),MATCH(B$4,Data[#Headers],0))</f>
        <v>West Bend-Mallard</v>
      </c>
      <c r="C314" s="22">
        <f>INDEX(Data[],MATCH($A314,Data[Dist],0),MATCH(C$4,Data[#Headers],0))</f>
        <v>1287399</v>
      </c>
      <c r="D314" s="22">
        <f>INDEX(Data[],MATCH($A314,Data[Dist],0),MATCH(D$4,Data[#Headers],0))</f>
        <v>249</v>
      </c>
      <c r="E314" s="22">
        <f>IF(Notes!$B$3="Pay 1 Regular State Payment Budget",0,INDEX(Data[],MATCH($A314,Data[Dist],0),MATCH(E$4,Data[#Headers],0)))</f>
        <v>7149</v>
      </c>
      <c r="F314" s="22">
        <f>IF(OR(Notes!$B$3="Pay 1 Regular State Payment Budget",Notes!$B$3="Pay 2 Regular State Payment Budget"),0,INDEX(Data[],MATCH($A314,Data[Dist],0),MATCH(F$4,Data[#Headers],0)))</f>
        <v>16339</v>
      </c>
      <c r="G314" s="22">
        <f>INDEX(Data[],MATCH($A314,Data[Dist],0),MATCH(G$4,Data[#Headers],0))</f>
        <v>1263662</v>
      </c>
    </row>
    <row r="315" spans="1:7" s="21" customFormat="1" ht="12.75" x14ac:dyDescent="0.2">
      <c r="A315" s="20" t="str">
        <f>Data!B311</f>
        <v>6930</v>
      </c>
      <c r="B315" s="21" t="str">
        <f>INDEX(Data[],MATCH($A315,Data[Dist],0),MATCH(B$4,Data[#Headers],0))</f>
        <v>West Branch</v>
      </c>
      <c r="C315" s="22">
        <f>INDEX(Data[],MATCH($A315,Data[Dist],0),MATCH(C$4,Data[#Headers],0))</f>
        <v>4017377</v>
      </c>
      <c r="D315" s="22">
        <f>INDEX(Data[],MATCH($A315,Data[Dist],0),MATCH(D$4,Data[#Headers],0))</f>
        <v>746</v>
      </c>
      <c r="E315" s="22">
        <f>IF(Notes!$B$3="Pay 1 Regular State Payment Budget",0,INDEX(Data[],MATCH($A315,Data[Dist],0),MATCH(E$4,Data[#Headers],0)))</f>
        <v>19341</v>
      </c>
      <c r="F315" s="22">
        <f>IF(OR(Notes!$B$3="Pay 1 Regular State Payment Budget",Notes!$B$3="Pay 2 Regular State Payment Budget"),0,INDEX(Data[],MATCH($A315,Data[Dist],0),MATCH(F$4,Data[#Headers],0)))</f>
        <v>0</v>
      </c>
      <c r="G315" s="22">
        <f>INDEX(Data[],MATCH($A315,Data[Dist],0),MATCH(G$4,Data[#Headers],0))</f>
        <v>3997290</v>
      </c>
    </row>
    <row r="316" spans="1:7" s="21" customFormat="1" ht="12.75" x14ac:dyDescent="0.2">
      <c r="A316" s="20" t="str">
        <f>Data!B312</f>
        <v>6937</v>
      </c>
      <c r="B316" s="21" t="str">
        <f>INDEX(Data[],MATCH($A316,Data[Dist],0),MATCH(B$4,Data[#Headers],0))</f>
        <v>West Burlington</v>
      </c>
      <c r="C316" s="22">
        <f>INDEX(Data[],MATCH($A316,Data[Dist],0),MATCH(C$4,Data[#Headers],0))</f>
        <v>2873380</v>
      </c>
      <c r="D316" s="22">
        <f>INDEX(Data[],MATCH($A316,Data[Dist],0),MATCH(D$4,Data[#Headers],0))</f>
        <v>580</v>
      </c>
      <c r="E316" s="22">
        <f>IF(Notes!$B$3="Pay 1 Regular State Payment Budget",0,INDEX(Data[],MATCH($A316,Data[Dist],0),MATCH(E$4,Data[#Headers],0)))</f>
        <v>11620</v>
      </c>
      <c r="F316" s="22">
        <f>IF(OR(Notes!$B$3="Pay 1 Regular State Payment Budget",Notes!$B$3="Pay 2 Regular State Payment Budget"),0,INDEX(Data[],MATCH($A316,Data[Dist],0),MATCH(F$4,Data[#Headers],0)))</f>
        <v>0</v>
      </c>
      <c r="G316" s="22">
        <f>INDEX(Data[],MATCH($A316,Data[Dist],0),MATCH(G$4,Data[#Headers],0))</f>
        <v>2861180</v>
      </c>
    </row>
    <row r="317" spans="1:7" s="21" customFormat="1" ht="12.75" x14ac:dyDescent="0.2">
      <c r="A317" s="20" t="str">
        <f>Data!B313</f>
        <v>6943</v>
      </c>
      <c r="B317" s="21" t="str">
        <f>INDEX(Data[],MATCH($A317,Data[Dist],0),MATCH(B$4,Data[#Headers],0))</f>
        <v>West Central</v>
      </c>
      <c r="C317" s="22">
        <f>INDEX(Data[],MATCH($A317,Data[Dist],0),MATCH(C$4,Data[#Headers],0))</f>
        <v>1266370</v>
      </c>
      <c r="D317" s="22">
        <f>INDEX(Data[],MATCH($A317,Data[Dist],0),MATCH(D$4,Data[#Headers],0))</f>
        <v>182</v>
      </c>
      <c r="E317" s="22">
        <f>IF(Notes!$B$3="Pay 1 Regular State Payment Budget",0,INDEX(Data[],MATCH($A317,Data[Dist],0),MATCH(E$4,Data[#Headers],0)))</f>
        <v>6497</v>
      </c>
      <c r="F317" s="22">
        <f>IF(OR(Notes!$B$3="Pay 1 Regular State Payment Budget",Notes!$B$3="Pay 2 Regular State Payment Budget"),0,INDEX(Data[],MATCH($A317,Data[Dist],0),MATCH(F$4,Data[#Headers],0)))</f>
        <v>0</v>
      </c>
      <c r="G317" s="22">
        <f>INDEX(Data[],MATCH($A317,Data[Dist],0),MATCH(G$4,Data[#Headers],0))</f>
        <v>1259691</v>
      </c>
    </row>
    <row r="318" spans="1:7" s="21" customFormat="1" ht="12.75" x14ac:dyDescent="0.2">
      <c r="A318" s="20" t="str">
        <f>Data!B314</f>
        <v>6950</v>
      </c>
      <c r="B318" s="21" t="str">
        <f>INDEX(Data[],MATCH($A318,Data[Dist],0),MATCH(B$4,Data[#Headers],0))</f>
        <v>West Delaware Co</v>
      </c>
      <c r="C318" s="22">
        <f>INDEX(Data[],MATCH($A318,Data[Dist],0),MATCH(C$4,Data[#Headers],0))</f>
        <v>8164728</v>
      </c>
      <c r="D318" s="22">
        <f>INDEX(Data[],MATCH($A318,Data[Dist],0),MATCH(D$4,Data[#Headers],0))</f>
        <v>1012</v>
      </c>
      <c r="E318" s="22">
        <f>IF(Notes!$B$3="Pay 1 Regular State Payment Budget",0,INDEX(Data[],MATCH($A318,Data[Dist],0),MATCH(E$4,Data[#Headers],0)))</f>
        <v>36042</v>
      </c>
      <c r="F318" s="22">
        <f>IF(OR(Notes!$B$3="Pay 1 Regular State Payment Budget",Notes!$B$3="Pay 2 Regular State Payment Budget"),0,INDEX(Data[],MATCH($A318,Data[Dist],0),MATCH(F$4,Data[#Headers],0)))</f>
        <v>0</v>
      </c>
      <c r="G318" s="22">
        <f>INDEX(Data[],MATCH($A318,Data[Dist],0),MATCH(G$4,Data[#Headers],0))</f>
        <v>8127674</v>
      </c>
    </row>
    <row r="319" spans="1:7" s="21" customFormat="1" ht="12.75" x14ac:dyDescent="0.2">
      <c r="A319" s="20" t="str">
        <f>Data!B315</f>
        <v>6957</v>
      </c>
      <c r="B319" s="21" t="str">
        <f>INDEX(Data[],MATCH($A319,Data[Dist],0),MATCH(B$4,Data[#Headers],0))</f>
        <v>West Des Moines</v>
      </c>
      <c r="C319" s="22">
        <f>INDEX(Data[],MATCH($A319,Data[Dist],0),MATCH(C$4,Data[#Headers],0))</f>
        <v>43629410</v>
      </c>
      <c r="D319" s="22">
        <f>INDEX(Data[],MATCH($A319,Data[Dist],0),MATCH(D$4,Data[#Headers],0))</f>
        <v>6734</v>
      </c>
      <c r="E319" s="22">
        <f>IF(Notes!$B$3="Pay 1 Regular State Payment Budget",0,INDEX(Data[],MATCH($A319,Data[Dist],0),MATCH(E$4,Data[#Headers],0)))</f>
        <v>222761</v>
      </c>
      <c r="F319" s="22">
        <f>IF(OR(Notes!$B$3="Pay 1 Regular State Payment Budget",Notes!$B$3="Pay 2 Regular State Payment Budget"),0,INDEX(Data[],MATCH($A319,Data[Dist],0),MATCH(F$4,Data[#Headers],0)))</f>
        <v>0</v>
      </c>
      <c r="G319" s="22">
        <f>INDEX(Data[],MATCH($A319,Data[Dist],0),MATCH(G$4,Data[#Headers],0))</f>
        <v>43399915</v>
      </c>
    </row>
    <row r="320" spans="1:7" s="21" customFormat="1" ht="12.75" x14ac:dyDescent="0.2">
      <c r="A320" s="20" t="str">
        <f>Data!B316</f>
        <v>6961</v>
      </c>
      <c r="B320" s="21" t="str">
        <f>INDEX(Data[],MATCH($A320,Data[Dist],0),MATCH(B$4,Data[#Headers],0))</f>
        <v>Western Dubuque Co</v>
      </c>
      <c r="C320" s="22">
        <f>INDEX(Data[],MATCH($A320,Data[Dist],0),MATCH(C$4,Data[#Headers],0))</f>
        <v>16576684</v>
      </c>
      <c r="D320" s="22">
        <f>INDEX(Data[],MATCH($A320,Data[Dist],0),MATCH(D$4,Data[#Headers],0))</f>
        <v>4445</v>
      </c>
      <c r="E320" s="22">
        <f>IF(Notes!$B$3="Pay 1 Regular State Payment Budget",0,INDEX(Data[],MATCH($A320,Data[Dist],0),MATCH(E$4,Data[#Headers],0)))</f>
        <v>77422</v>
      </c>
      <c r="F320" s="22">
        <f>IF(OR(Notes!$B$3="Pay 1 Regular State Payment Budget",Notes!$B$3="Pay 2 Regular State Payment Budget"),0,INDEX(Data[],MATCH($A320,Data[Dist],0),MATCH(F$4,Data[#Headers],0)))</f>
        <v>0</v>
      </c>
      <c r="G320" s="22">
        <f>INDEX(Data[],MATCH($A320,Data[Dist],0),MATCH(G$4,Data[#Headers],0))</f>
        <v>16494817</v>
      </c>
    </row>
    <row r="321" spans="1:7" s="21" customFormat="1" ht="12.75" x14ac:dyDescent="0.2">
      <c r="A321" s="20" t="str">
        <f>Data!B317</f>
        <v>6969</v>
      </c>
      <c r="B321" s="21" t="str">
        <f>INDEX(Data[],MATCH($A321,Data[Dist],0),MATCH(B$4,Data[#Headers],0))</f>
        <v>West Harrison</v>
      </c>
      <c r="C321" s="22">
        <f>INDEX(Data[],MATCH($A321,Data[Dist],0),MATCH(C$4,Data[#Headers],0))</f>
        <v>1868187</v>
      </c>
      <c r="D321" s="22">
        <f>INDEX(Data[],MATCH($A321,Data[Dist],0),MATCH(D$4,Data[#Headers],0))</f>
        <v>315</v>
      </c>
      <c r="E321" s="22">
        <f>IF(Notes!$B$3="Pay 1 Regular State Payment Budget",0,INDEX(Data[],MATCH($A321,Data[Dist],0),MATCH(E$4,Data[#Headers],0)))</f>
        <v>8643</v>
      </c>
      <c r="F321" s="22">
        <f>IF(OR(Notes!$B$3="Pay 1 Regular State Payment Budget",Notes!$B$3="Pay 2 Regular State Payment Budget"),0,INDEX(Data[],MATCH($A321,Data[Dist],0),MATCH(F$4,Data[#Headers],0)))</f>
        <v>39297</v>
      </c>
      <c r="G321" s="22">
        <f>INDEX(Data[],MATCH($A321,Data[Dist],0),MATCH(G$4,Data[#Headers],0))</f>
        <v>1819932</v>
      </c>
    </row>
    <row r="322" spans="1:7" s="21" customFormat="1" ht="12.75" x14ac:dyDescent="0.2">
      <c r="A322" s="20" t="str">
        <f>Data!B318</f>
        <v>6975</v>
      </c>
      <c r="B322" s="21" t="str">
        <f>INDEX(Data[],MATCH($A322,Data[Dist],0),MATCH(B$4,Data[#Headers],0))</f>
        <v>West Liberty</v>
      </c>
      <c r="C322" s="22">
        <f>INDEX(Data[],MATCH($A322,Data[Dist],0),MATCH(C$4,Data[#Headers],0))</f>
        <v>9734549</v>
      </c>
      <c r="D322" s="22">
        <f>INDEX(Data[],MATCH($A322,Data[Dist],0),MATCH(D$4,Data[#Headers],0))</f>
        <v>1459</v>
      </c>
      <c r="E322" s="22">
        <f>IF(Notes!$B$3="Pay 1 Regular State Payment Budget",0,INDEX(Data[],MATCH($A322,Data[Dist],0),MATCH(E$4,Data[#Headers],0)))</f>
        <v>34398</v>
      </c>
      <c r="F322" s="22">
        <f>IF(OR(Notes!$B$3="Pay 1 Regular State Payment Budget",Notes!$B$3="Pay 2 Regular State Payment Budget"),0,INDEX(Data[],MATCH($A322,Data[Dist],0),MATCH(F$4,Data[#Headers],0)))</f>
        <v>0</v>
      </c>
      <c r="G322" s="22">
        <f>INDEX(Data[],MATCH($A322,Data[Dist],0),MATCH(G$4,Data[#Headers],0))</f>
        <v>9698692</v>
      </c>
    </row>
    <row r="323" spans="1:7" s="21" customFormat="1" ht="12.75" x14ac:dyDescent="0.2">
      <c r="A323" s="20" t="str">
        <f>Data!B319</f>
        <v>6983</v>
      </c>
      <c r="B323" s="21" t="str">
        <f>INDEX(Data[],MATCH($A323,Data[Dist],0),MATCH(B$4,Data[#Headers],0))</f>
        <v>West Lyon</v>
      </c>
      <c r="C323" s="22">
        <f>INDEX(Data[],MATCH($A323,Data[Dist],0),MATCH(C$4,Data[#Headers],0))</f>
        <v>4894252</v>
      </c>
      <c r="D323" s="22">
        <f>INDEX(Data[],MATCH($A323,Data[Dist],0),MATCH(D$4,Data[#Headers],0))</f>
        <v>779</v>
      </c>
      <c r="E323" s="22">
        <f>IF(Notes!$B$3="Pay 1 Regular State Payment Budget",0,INDEX(Data[],MATCH($A323,Data[Dist],0),MATCH(E$4,Data[#Headers],0)))</f>
        <v>23055</v>
      </c>
      <c r="F323" s="22">
        <f>IF(OR(Notes!$B$3="Pay 1 Regular State Payment Budget",Notes!$B$3="Pay 2 Regular State Payment Budget"),0,INDEX(Data[],MATCH($A323,Data[Dist],0),MATCH(F$4,Data[#Headers],0)))</f>
        <v>0</v>
      </c>
      <c r="G323" s="22">
        <f>INDEX(Data[],MATCH($A323,Data[Dist],0),MATCH(G$4,Data[#Headers],0))</f>
        <v>4870418</v>
      </c>
    </row>
    <row r="324" spans="1:7" s="21" customFormat="1" ht="12.75" x14ac:dyDescent="0.2">
      <c r="A324" s="20" t="str">
        <f>Data!B320</f>
        <v>6985</v>
      </c>
      <c r="B324" s="21" t="str">
        <f>INDEX(Data[],MATCH($A324,Data[Dist],0),MATCH(B$4,Data[#Headers],0))</f>
        <v>West Marshall</v>
      </c>
      <c r="C324" s="22">
        <f>INDEX(Data[],MATCH($A324,Data[Dist],0),MATCH(C$4,Data[#Headers],0))</f>
        <v>5488591</v>
      </c>
      <c r="D324" s="22">
        <f>INDEX(Data[],MATCH($A324,Data[Dist],0),MATCH(D$4,Data[#Headers],0))</f>
        <v>829</v>
      </c>
      <c r="E324" s="22">
        <f>IF(Notes!$B$3="Pay 1 Regular State Payment Budget",0,INDEX(Data[],MATCH($A324,Data[Dist],0),MATCH(E$4,Data[#Headers],0)))</f>
        <v>22384</v>
      </c>
      <c r="F324" s="22">
        <f>IF(OR(Notes!$B$3="Pay 1 Regular State Payment Budget",Notes!$B$3="Pay 2 Regular State Payment Budget"),0,INDEX(Data[],MATCH($A324,Data[Dist],0),MATCH(F$4,Data[#Headers],0)))</f>
        <v>0</v>
      </c>
      <c r="G324" s="22">
        <f>INDEX(Data[],MATCH($A324,Data[Dist],0),MATCH(G$4,Data[#Headers],0))</f>
        <v>5465378</v>
      </c>
    </row>
    <row r="325" spans="1:7" s="21" customFormat="1" ht="12.75" x14ac:dyDescent="0.2">
      <c r="A325" s="20" t="str">
        <f>Data!B321</f>
        <v>6987</v>
      </c>
      <c r="B325" s="21" t="str">
        <f>INDEX(Data[],MATCH($A325,Data[Dist],0),MATCH(B$4,Data[#Headers],0))</f>
        <v>West Monona</v>
      </c>
      <c r="C325" s="22">
        <f>INDEX(Data[],MATCH($A325,Data[Dist],0),MATCH(C$4,Data[#Headers],0))</f>
        <v>3626386</v>
      </c>
      <c r="D325" s="22">
        <f>INDEX(Data[],MATCH($A325,Data[Dist],0),MATCH(D$4,Data[#Headers],0))</f>
        <v>746</v>
      </c>
      <c r="E325" s="22">
        <f>IF(Notes!$B$3="Pay 1 Regular State Payment Budget",0,INDEX(Data[],MATCH($A325,Data[Dist],0),MATCH(E$4,Data[#Headers],0)))</f>
        <v>15137</v>
      </c>
      <c r="F325" s="22">
        <f>IF(OR(Notes!$B$3="Pay 1 Regular State Payment Budget",Notes!$B$3="Pay 2 Regular State Payment Budget"),0,INDEX(Data[],MATCH($A325,Data[Dist],0),MATCH(F$4,Data[#Headers],0)))</f>
        <v>2960</v>
      </c>
      <c r="G325" s="22">
        <f>INDEX(Data[],MATCH($A325,Data[Dist],0),MATCH(G$4,Data[#Headers],0))</f>
        <v>3607543</v>
      </c>
    </row>
    <row r="326" spans="1:7" s="21" customFormat="1" ht="12.75" x14ac:dyDescent="0.2">
      <c r="A326" s="20" t="str">
        <f>Data!B322</f>
        <v>6990</v>
      </c>
      <c r="B326" s="21" t="str">
        <f>INDEX(Data[],MATCH($A326,Data[Dist],0),MATCH(B$4,Data[#Headers],0))</f>
        <v>West Sioux</v>
      </c>
      <c r="C326" s="22">
        <f>INDEX(Data[],MATCH($A326,Data[Dist],0),MATCH(C$4,Data[#Headers],0))</f>
        <v>5633634</v>
      </c>
      <c r="D326" s="22">
        <f>INDEX(Data[],MATCH($A326,Data[Dist],0),MATCH(D$4,Data[#Headers],0))</f>
        <v>862</v>
      </c>
      <c r="E326" s="22">
        <f>IF(Notes!$B$3="Pay 1 Regular State Payment Budget",0,INDEX(Data[],MATCH($A326,Data[Dist],0),MATCH(E$4,Data[#Headers],0)))</f>
        <v>20827</v>
      </c>
      <c r="F326" s="22">
        <f>IF(OR(Notes!$B$3="Pay 1 Regular State Payment Budget",Notes!$B$3="Pay 2 Regular State Payment Budget"),0,INDEX(Data[],MATCH($A326,Data[Dist],0),MATCH(F$4,Data[#Headers],0)))</f>
        <v>0</v>
      </c>
      <c r="G326" s="22">
        <f>INDEX(Data[],MATCH($A326,Data[Dist],0),MATCH(G$4,Data[#Headers],0))</f>
        <v>5611945</v>
      </c>
    </row>
    <row r="327" spans="1:7" s="21" customFormat="1" ht="12.75" x14ac:dyDescent="0.2">
      <c r="A327" s="20" t="str">
        <f>Data!B323</f>
        <v>6992</v>
      </c>
      <c r="B327" s="21" t="str">
        <f>INDEX(Data[],MATCH($A327,Data[Dist],0),MATCH(B$4,Data[#Headers],0))</f>
        <v>Westwood</v>
      </c>
      <c r="C327" s="22">
        <f>INDEX(Data[],MATCH($A327,Data[Dist],0),MATCH(C$4,Data[#Headers],0))</f>
        <v>2425420</v>
      </c>
      <c r="D327" s="22">
        <f>INDEX(Data[],MATCH($A327,Data[Dist],0),MATCH(D$4,Data[#Headers],0))</f>
        <v>647</v>
      </c>
      <c r="E327" s="22">
        <f>IF(Notes!$B$3="Pay 1 Regular State Payment Budget",0,INDEX(Data[],MATCH($A327,Data[Dist],0),MATCH(E$4,Data[#Headers],0)))</f>
        <v>13289</v>
      </c>
      <c r="F327" s="22">
        <f>IF(OR(Notes!$B$3="Pay 1 Regular State Payment Budget",Notes!$B$3="Pay 2 Regular State Payment Budget"),0,INDEX(Data[],MATCH($A327,Data[Dist],0),MATCH(F$4,Data[#Headers],0)))</f>
        <v>0</v>
      </c>
      <c r="G327" s="22">
        <f>INDEX(Data[],MATCH($A327,Data[Dist],0),MATCH(G$4,Data[#Headers],0))</f>
        <v>2411484</v>
      </c>
    </row>
    <row r="328" spans="1:7" s="21" customFormat="1" ht="12.75" x14ac:dyDescent="0.2">
      <c r="A328" s="20" t="str">
        <f>Data!B324</f>
        <v>7002</v>
      </c>
      <c r="B328" s="21" t="str">
        <f>INDEX(Data[],MATCH($A328,Data[Dist],0),MATCH(B$4,Data[#Headers],0))</f>
        <v>Whiting</v>
      </c>
      <c r="C328" s="22">
        <f>INDEX(Data[],MATCH($A328,Data[Dist],0),MATCH(C$4,Data[#Headers],0))</f>
        <v>1136549</v>
      </c>
      <c r="D328" s="22">
        <f>INDEX(Data[],MATCH($A328,Data[Dist],0),MATCH(D$4,Data[#Headers],0))</f>
        <v>149</v>
      </c>
      <c r="E328" s="22">
        <f>IF(Notes!$B$3="Pay 1 Regular State Payment Budget",0,INDEX(Data[],MATCH($A328,Data[Dist],0),MATCH(E$4,Data[#Headers],0)))</f>
        <v>5126</v>
      </c>
      <c r="F328" s="22">
        <f>IF(OR(Notes!$B$3="Pay 1 Regular State Payment Budget",Notes!$B$3="Pay 2 Regular State Payment Budget"),0,INDEX(Data[],MATCH($A328,Data[Dist],0),MATCH(F$4,Data[#Headers],0)))</f>
        <v>0</v>
      </c>
      <c r="G328" s="22">
        <f>INDEX(Data[],MATCH($A328,Data[Dist],0),MATCH(G$4,Data[#Headers],0))</f>
        <v>1131274</v>
      </c>
    </row>
    <row r="329" spans="1:7" s="21" customFormat="1" ht="12.75" x14ac:dyDescent="0.2">
      <c r="A329" s="20" t="str">
        <f>Data!B325</f>
        <v>7029</v>
      </c>
      <c r="B329" s="21" t="str">
        <f>INDEX(Data[],MATCH($A329,Data[Dist],0),MATCH(B$4,Data[#Headers],0))</f>
        <v>Williamsburg</v>
      </c>
      <c r="C329" s="22">
        <f>INDEX(Data[],MATCH($A329,Data[Dist],0),MATCH(C$4,Data[#Headers],0))</f>
        <v>6362579</v>
      </c>
      <c r="D329" s="22">
        <f>INDEX(Data[],MATCH($A329,Data[Dist],0),MATCH(D$4,Data[#Headers],0))</f>
        <v>1310</v>
      </c>
      <c r="E329" s="22">
        <f>IF(Notes!$B$3="Pay 1 Regular State Payment Budget",0,INDEX(Data[],MATCH($A329,Data[Dist],0),MATCH(E$4,Data[#Headers],0)))</f>
        <v>28079</v>
      </c>
      <c r="F329" s="22">
        <f>IF(OR(Notes!$B$3="Pay 1 Regular State Payment Budget",Notes!$B$3="Pay 2 Regular State Payment Budget"),0,INDEX(Data[],MATCH($A329,Data[Dist],0),MATCH(F$4,Data[#Headers],0)))</f>
        <v>0</v>
      </c>
      <c r="G329" s="22">
        <f>INDEX(Data[],MATCH($A329,Data[Dist],0),MATCH(G$4,Data[#Headers],0))</f>
        <v>6333190</v>
      </c>
    </row>
    <row r="330" spans="1:7" s="21" customFormat="1" ht="12.75" x14ac:dyDescent="0.2">
      <c r="A330" s="20" t="str">
        <f>Data!B326</f>
        <v>7038</v>
      </c>
      <c r="B330" s="21" t="str">
        <f>INDEX(Data[],MATCH($A330,Data[Dist],0),MATCH(B$4,Data[#Headers],0))</f>
        <v>Wilton</v>
      </c>
      <c r="C330" s="22">
        <f>INDEX(Data[],MATCH($A330,Data[Dist],0),MATCH(C$4,Data[#Headers],0))</f>
        <v>5012863</v>
      </c>
      <c r="D330" s="22">
        <f>INDEX(Data[],MATCH($A330,Data[Dist],0),MATCH(D$4,Data[#Headers],0))</f>
        <v>763</v>
      </c>
      <c r="E330" s="22">
        <f>IF(Notes!$B$3="Pay 1 Regular State Payment Budget",0,INDEX(Data[],MATCH($A330,Data[Dist],0),MATCH(E$4,Data[#Headers],0)))</f>
        <v>20697</v>
      </c>
      <c r="F330" s="22">
        <f>IF(OR(Notes!$B$3="Pay 1 Regular State Payment Budget",Notes!$B$3="Pay 2 Regular State Payment Budget"),0,INDEX(Data[],MATCH($A330,Data[Dist],0),MATCH(F$4,Data[#Headers],0)))</f>
        <v>0</v>
      </c>
      <c r="G330" s="22">
        <f>INDEX(Data[],MATCH($A330,Data[Dist],0),MATCH(G$4,Data[#Headers],0))</f>
        <v>4991403</v>
      </c>
    </row>
    <row r="331" spans="1:7" s="21" customFormat="1" ht="12.75" x14ac:dyDescent="0.2">
      <c r="A331" s="20" t="str">
        <f>Data!B327</f>
        <v>7047</v>
      </c>
      <c r="B331" s="21" t="str">
        <f>INDEX(Data[],MATCH($A331,Data[Dist],0),MATCH(B$4,Data[#Headers],0))</f>
        <v>Winfield-Mt Union</v>
      </c>
      <c r="C331" s="22">
        <f>INDEX(Data[],MATCH($A331,Data[Dist],0),MATCH(C$4,Data[#Headers],0))</f>
        <v>2000451</v>
      </c>
      <c r="D331" s="22">
        <f>INDEX(Data[],MATCH($A331,Data[Dist],0),MATCH(D$4,Data[#Headers],0))</f>
        <v>282</v>
      </c>
      <c r="E331" s="22">
        <f>IF(Notes!$B$3="Pay 1 Regular State Payment Budget",0,INDEX(Data[],MATCH($A331,Data[Dist],0),MATCH(E$4,Data[#Headers],0)))</f>
        <v>8475</v>
      </c>
      <c r="F331" s="22">
        <f>IF(OR(Notes!$B$3="Pay 1 Regular State Payment Budget",Notes!$B$3="Pay 2 Regular State Payment Budget"),0,INDEX(Data[],MATCH($A331,Data[Dist],0),MATCH(F$4,Data[#Headers],0)))</f>
        <v>0</v>
      </c>
      <c r="G331" s="22">
        <f>INDEX(Data[],MATCH($A331,Data[Dist],0),MATCH(G$4,Data[#Headers],0))</f>
        <v>1991694</v>
      </c>
    </row>
    <row r="332" spans="1:7" s="21" customFormat="1" ht="12.75" x14ac:dyDescent="0.2">
      <c r="A332" s="20" t="str">
        <f>Data!B328</f>
        <v>7056</v>
      </c>
      <c r="B332" s="21" t="str">
        <f>INDEX(Data[],MATCH($A332,Data[Dist],0),MATCH(B$4,Data[#Headers],0))</f>
        <v>Winterset</v>
      </c>
      <c r="C332" s="22">
        <f>INDEX(Data[],MATCH($A332,Data[Dist],0),MATCH(C$4,Data[#Headers],0))</f>
        <v>10748316</v>
      </c>
      <c r="D332" s="22">
        <f>INDEX(Data[],MATCH($A332,Data[Dist],0),MATCH(D$4,Data[#Headers],0))</f>
        <v>1377</v>
      </c>
      <c r="E332" s="22">
        <f>IF(Notes!$B$3="Pay 1 Regular State Payment Budget",0,INDEX(Data[],MATCH($A332,Data[Dist],0),MATCH(E$4,Data[#Headers],0)))</f>
        <v>42724</v>
      </c>
      <c r="F332" s="22">
        <f>IF(OR(Notes!$B$3="Pay 1 Regular State Payment Budget",Notes!$B$3="Pay 2 Regular State Payment Budget"),0,INDEX(Data[],MATCH($A332,Data[Dist],0),MATCH(F$4,Data[#Headers],0)))</f>
        <v>0</v>
      </c>
      <c r="G332" s="22">
        <f>INDEX(Data[],MATCH($A332,Data[Dist],0),MATCH(G$4,Data[#Headers],0))</f>
        <v>10704215</v>
      </c>
    </row>
    <row r="333" spans="1:7" s="21" customFormat="1" ht="12.75" x14ac:dyDescent="0.2">
      <c r="A333" s="20" t="str">
        <f>Data!B329</f>
        <v>7092</v>
      </c>
      <c r="B333" s="21" t="str">
        <f>INDEX(Data[],MATCH($A333,Data[Dist],0),MATCH(B$4,Data[#Headers],0))</f>
        <v>Woodbine</v>
      </c>
      <c r="C333" s="22">
        <f>INDEX(Data[],MATCH($A333,Data[Dist],0),MATCH(C$4,Data[#Headers],0))</f>
        <v>2711916</v>
      </c>
      <c r="D333" s="22">
        <f>INDEX(Data[],MATCH($A333,Data[Dist],0),MATCH(D$4,Data[#Headers],0))</f>
        <v>315</v>
      </c>
      <c r="E333" s="22">
        <f>IF(Notes!$B$3="Pay 1 Regular State Payment Budget",0,INDEX(Data[],MATCH($A333,Data[Dist],0),MATCH(E$4,Data[#Headers],0)))</f>
        <v>11740</v>
      </c>
      <c r="F333" s="22">
        <f>IF(OR(Notes!$B$3="Pay 1 Regular State Payment Budget",Notes!$B$3="Pay 2 Regular State Payment Budget"),0,INDEX(Data[],MATCH($A333,Data[Dist],0),MATCH(F$4,Data[#Headers],0)))</f>
        <v>0</v>
      </c>
      <c r="G333" s="22">
        <f>INDEX(Data[],MATCH($A333,Data[Dist],0),MATCH(G$4,Data[#Headers],0))</f>
        <v>2699861</v>
      </c>
    </row>
    <row r="334" spans="1:7" s="21" customFormat="1" ht="12.75" x14ac:dyDescent="0.2">
      <c r="A334" s="20" t="str">
        <f>Data!B330</f>
        <v>7098</v>
      </c>
      <c r="B334" s="21" t="str">
        <f>INDEX(Data[],MATCH($A334,Data[Dist],0),MATCH(B$4,Data[#Headers],0))</f>
        <v>Woodbury Central</v>
      </c>
      <c r="C334" s="22">
        <f>INDEX(Data[],MATCH($A334,Data[Dist],0),MATCH(C$4,Data[#Headers],0))</f>
        <v>3523243</v>
      </c>
      <c r="D334" s="22">
        <f>INDEX(Data[],MATCH($A334,Data[Dist],0),MATCH(D$4,Data[#Headers],0))</f>
        <v>614</v>
      </c>
      <c r="E334" s="22">
        <f>IF(Notes!$B$3="Pay 1 Regular State Payment Budget",0,INDEX(Data[],MATCH($A334,Data[Dist],0),MATCH(E$4,Data[#Headers],0)))</f>
        <v>13736</v>
      </c>
      <c r="F334" s="22">
        <f>IF(OR(Notes!$B$3="Pay 1 Regular State Payment Budget",Notes!$B$3="Pay 2 Regular State Payment Budget"),0,INDEX(Data[],MATCH($A334,Data[Dist],0),MATCH(F$4,Data[#Headers],0)))</f>
        <v>0</v>
      </c>
      <c r="G334" s="22">
        <f>INDEX(Data[],MATCH($A334,Data[Dist],0),MATCH(G$4,Data[#Headers],0))</f>
        <v>3508893</v>
      </c>
    </row>
    <row r="335" spans="1:7" s="21" customFormat="1" ht="12.75" x14ac:dyDescent="0.2">
      <c r="A335" s="20" t="str">
        <f>Data!B331</f>
        <v>7110</v>
      </c>
      <c r="B335" s="21" t="str">
        <f>INDEX(Data[],MATCH($A335,Data[Dist],0),MATCH(B$4,Data[#Headers],0))</f>
        <v>Woodward-Granger</v>
      </c>
      <c r="C335" s="22">
        <f>INDEX(Data[],MATCH($A335,Data[Dist],0),MATCH(C$4,Data[#Headers],0))</f>
        <v>5878512</v>
      </c>
      <c r="D335" s="22">
        <f>INDEX(Data[],MATCH($A335,Data[Dist],0),MATCH(D$4,Data[#Headers],0))</f>
        <v>1410</v>
      </c>
      <c r="E335" s="22">
        <f>IF(Notes!$B$3="Pay 1 Regular State Payment Budget",0,INDEX(Data[],MATCH($A335,Data[Dist],0),MATCH(E$4,Data[#Headers],0)))</f>
        <v>23985</v>
      </c>
      <c r="F335" s="22">
        <f>IF(OR(Notes!$B$3="Pay 1 Regular State Payment Budget",Notes!$B$3="Pay 2 Regular State Payment Budget"),0,INDEX(Data[],MATCH($A335,Data[Dist],0),MATCH(F$4,Data[#Headers],0)))</f>
        <v>0</v>
      </c>
      <c r="G335" s="22">
        <f>INDEX(Data[],MATCH($A335,Data[Dist],0),MATCH(G$4,Data[#Headers],0))</f>
        <v>5853117</v>
      </c>
    </row>
    <row r="336" spans="1:7" s="21" customFormat="1" ht="13.5" thickBot="1" x14ac:dyDescent="0.25">
      <c r="A336" s="125" t="s">
        <v>798</v>
      </c>
      <c r="B336" s="21" t="s">
        <v>797</v>
      </c>
      <c r="C336" s="24">
        <f>SUM(C6:C335)</f>
        <v>2996663304</v>
      </c>
      <c r="D336" s="24">
        <f>SUM(D6:D335)</f>
        <v>405057</v>
      </c>
      <c r="E336" s="24">
        <f>SUM(E6:E335)</f>
        <v>12146313</v>
      </c>
      <c r="F336" s="24">
        <f>SUM(F6:F335)</f>
        <v>2487865</v>
      </c>
      <c r="G336" s="24">
        <f>SUM(G6:G335)</f>
        <v>2981624069</v>
      </c>
    </row>
    <row r="337" spans="1:7" s="21" customFormat="1" ht="13.5" thickTop="1" x14ac:dyDescent="0.2">
      <c r="A337" s="23"/>
      <c r="C337" s="22"/>
      <c r="D337" s="22"/>
      <c r="E337" s="22"/>
      <c r="F337" s="22"/>
      <c r="G337" s="22"/>
    </row>
    <row r="338" spans="1:7" s="21" customFormat="1" ht="12.75" x14ac:dyDescent="0.2">
      <c r="A338" s="23"/>
      <c r="C338" s="22"/>
      <c r="D338" s="22"/>
      <c r="E338" s="22"/>
      <c r="F338" s="22"/>
      <c r="G338" s="22"/>
    </row>
    <row r="339" spans="1:7" s="21" customFormat="1" ht="12.75" x14ac:dyDescent="0.2">
      <c r="A339" s="23"/>
      <c r="C339" s="22"/>
      <c r="D339" s="22"/>
      <c r="E339" s="22"/>
      <c r="F339" s="22"/>
      <c r="G339" s="22"/>
    </row>
    <row r="340" spans="1:7" s="21" customFormat="1" ht="12.75" x14ac:dyDescent="0.2">
      <c r="A340" s="23"/>
      <c r="C340" s="22"/>
      <c r="D340" s="22"/>
      <c r="E340" s="22"/>
      <c r="F340" s="22"/>
      <c r="G340" s="22"/>
    </row>
    <row r="341" spans="1:7" s="21" customFormat="1" ht="12.75" x14ac:dyDescent="0.2">
      <c r="A341" s="23"/>
      <c r="C341" s="22"/>
      <c r="D341" s="22"/>
      <c r="E341" s="22"/>
      <c r="F341" s="22"/>
      <c r="G341" s="22"/>
    </row>
    <row r="342" spans="1:7" s="21" customFormat="1" ht="12.75" x14ac:dyDescent="0.2">
      <c r="A342" s="23"/>
      <c r="C342" s="22"/>
      <c r="D342" s="22"/>
      <c r="E342" s="22"/>
      <c r="F342" s="22"/>
      <c r="G342" s="22"/>
    </row>
    <row r="343" spans="1:7" s="21" customFormat="1" ht="12.75" x14ac:dyDescent="0.2">
      <c r="A343" s="23"/>
      <c r="C343" s="22"/>
      <c r="D343" s="22"/>
      <c r="E343" s="22"/>
      <c r="F343" s="22"/>
      <c r="G343" s="22"/>
    </row>
    <row r="344" spans="1:7" s="21" customFormat="1" ht="12.75" x14ac:dyDescent="0.2">
      <c r="A344" s="23"/>
      <c r="C344" s="22"/>
      <c r="D344" s="22"/>
      <c r="E344" s="22"/>
      <c r="F344" s="22"/>
      <c r="G344" s="22"/>
    </row>
    <row r="345" spans="1:7" s="21" customFormat="1" ht="12.75" x14ac:dyDescent="0.2">
      <c r="A345" s="23"/>
      <c r="C345" s="22"/>
      <c r="D345" s="22"/>
      <c r="E345" s="22"/>
      <c r="F345" s="22"/>
      <c r="G345" s="22"/>
    </row>
    <row r="346" spans="1:7" s="21" customFormat="1" ht="12.75" x14ac:dyDescent="0.2">
      <c r="A346" s="23"/>
      <c r="C346" s="22"/>
      <c r="D346" s="22"/>
      <c r="E346" s="22"/>
      <c r="F346" s="22"/>
      <c r="G346" s="22"/>
    </row>
    <row r="347" spans="1:7" s="21" customFormat="1" ht="12.75" x14ac:dyDescent="0.2">
      <c r="A347" s="23"/>
      <c r="C347" s="22"/>
      <c r="D347" s="22"/>
      <c r="E347" s="22"/>
      <c r="F347" s="22"/>
      <c r="G347" s="22"/>
    </row>
    <row r="348" spans="1:7" s="21" customFormat="1" ht="12.75" x14ac:dyDescent="0.2">
      <c r="A348" s="23"/>
      <c r="C348" s="22"/>
      <c r="D348" s="22"/>
      <c r="E348" s="22"/>
      <c r="F348" s="22"/>
      <c r="G348" s="22"/>
    </row>
    <row r="349" spans="1:7" s="21" customFormat="1" ht="12.75" x14ac:dyDescent="0.2">
      <c r="A349" s="23"/>
      <c r="C349" s="22"/>
      <c r="D349" s="22"/>
      <c r="E349" s="22"/>
      <c r="F349" s="22"/>
      <c r="G349" s="22"/>
    </row>
    <row r="350" spans="1:7" s="21" customFormat="1" ht="12.75" x14ac:dyDescent="0.2">
      <c r="A350" s="23"/>
      <c r="C350" s="22"/>
      <c r="D350" s="22"/>
      <c r="E350" s="22"/>
      <c r="F350" s="22"/>
      <c r="G350" s="22"/>
    </row>
    <row r="351" spans="1:7" s="21" customFormat="1" ht="12.75" x14ac:dyDescent="0.2">
      <c r="A351" s="23"/>
      <c r="C351" s="22"/>
      <c r="D351" s="22"/>
      <c r="E351" s="22"/>
      <c r="F351" s="22"/>
      <c r="G351" s="22"/>
    </row>
    <row r="352" spans="1:7" s="21" customFormat="1" ht="12.75" x14ac:dyDescent="0.2">
      <c r="A352" s="23"/>
      <c r="C352" s="22"/>
      <c r="D352" s="22"/>
      <c r="E352" s="22"/>
      <c r="F352" s="22"/>
      <c r="G352" s="22"/>
    </row>
    <row r="353" spans="1:7" s="21" customFormat="1" ht="12.75" x14ac:dyDescent="0.2">
      <c r="A353" s="23"/>
      <c r="C353" s="22"/>
      <c r="D353" s="22"/>
      <c r="E353" s="22"/>
      <c r="F353" s="22"/>
      <c r="G353" s="22"/>
    </row>
    <row r="354" spans="1:7" s="21" customFormat="1" ht="12.75" x14ac:dyDescent="0.2">
      <c r="A354" s="23"/>
      <c r="C354" s="22"/>
      <c r="D354" s="22"/>
      <c r="E354" s="22"/>
      <c r="F354" s="22"/>
      <c r="G354" s="22"/>
    </row>
    <row r="355" spans="1:7" s="21" customFormat="1" ht="12.75" x14ac:dyDescent="0.2">
      <c r="A355" s="23"/>
      <c r="C355" s="22"/>
      <c r="D355" s="22"/>
      <c r="E355" s="22"/>
      <c r="F355" s="22"/>
      <c r="G355" s="22"/>
    </row>
    <row r="356" spans="1:7" s="21" customFormat="1" ht="12.75" x14ac:dyDescent="0.2">
      <c r="A356" s="23"/>
      <c r="C356" s="22"/>
      <c r="D356" s="22"/>
      <c r="E356" s="22"/>
      <c r="F356" s="22"/>
      <c r="G356" s="22"/>
    </row>
    <row r="357" spans="1:7" s="21" customFormat="1" ht="12.75" x14ac:dyDescent="0.2">
      <c r="A357" s="23"/>
      <c r="C357" s="22"/>
      <c r="D357" s="22"/>
      <c r="E357" s="22"/>
      <c r="F357" s="22"/>
      <c r="G357" s="22"/>
    </row>
    <row r="358" spans="1:7" s="21" customFormat="1" ht="12.75" x14ac:dyDescent="0.2">
      <c r="A358" s="23"/>
      <c r="C358" s="22"/>
      <c r="D358" s="22"/>
      <c r="E358" s="22"/>
      <c r="F358" s="22"/>
      <c r="G358" s="22"/>
    </row>
    <row r="359" spans="1:7" s="21" customFormat="1" ht="12.75" x14ac:dyDescent="0.2">
      <c r="A359" s="23"/>
      <c r="C359" s="22"/>
      <c r="D359" s="22"/>
      <c r="E359" s="22"/>
      <c r="F359" s="22"/>
      <c r="G359" s="22"/>
    </row>
    <row r="360" spans="1:7" s="21" customFormat="1" ht="12.75" x14ac:dyDescent="0.2">
      <c r="A360" s="23"/>
      <c r="C360" s="22"/>
      <c r="D360" s="22"/>
      <c r="E360" s="22"/>
      <c r="F360" s="22"/>
      <c r="G360" s="22"/>
    </row>
    <row r="361" spans="1:7" s="21" customFormat="1" ht="12.75" x14ac:dyDescent="0.2">
      <c r="A361" s="23"/>
      <c r="C361" s="22"/>
      <c r="D361" s="22"/>
      <c r="E361" s="22"/>
      <c r="F361" s="22"/>
      <c r="G361" s="22"/>
    </row>
    <row r="362" spans="1:7" s="21" customFormat="1" ht="12.75" x14ac:dyDescent="0.2">
      <c r="A362" s="23"/>
      <c r="C362" s="22"/>
      <c r="D362" s="22"/>
      <c r="E362" s="22"/>
      <c r="F362" s="22"/>
      <c r="G362" s="22"/>
    </row>
    <row r="363" spans="1:7" s="21" customFormat="1" ht="12.75" x14ac:dyDescent="0.2">
      <c r="A363" s="23"/>
      <c r="C363" s="22"/>
      <c r="D363" s="22"/>
      <c r="E363" s="22"/>
      <c r="F363" s="22"/>
      <c r="G363" s="22"/>
    </row>
    <row r="364" spans="1:7" s="21" customFormat="1" ht="12.75" x14ac:dyDescent="0.2">
      <c r="A364" s="23"/>
      <c r="C364" s="22"/>
      <c r="D364" s="22"/>
      <c r="E364" s="22"/>
      <c r="F364" s="22"/>
      <c r="G364" s="22"/>
    </row>
    <row r="365" spans="1:7" s="21" customFormat="1" ht="12.75" x14ac:dyDescent="0.2">
      <c r="A365" s="23"/>
      <c r="C365" s="22"/>
      <c r="D365" s="22"/>
      <c r="E365" s="22"/>
      <c r="F365" s="22"/>
      <c r="G365" s="22"/>
    </row>
    <row r="366" spans="1:7" s="21" customFormat="1" ht="12.75" x14ac:dyDescent="0.2">
      <c r="A366" s="23"/>
      <c r="C366" s="22"/>
      <c r="D366" s="22"/>
      <c r="E366" s="22"/>
      <c r="F366" s="22"/>
      <c r="G366" s="22"/>
    </row>
    <row r="367" spans="1:7" s="21" customFormat="1" ht="12.75" x14ac:dyDescent="0.2">
      <c r="A367" s="23"/>
      <c r="C367" s="22"/>
      <c r="D367" s="22"/>
      <c r="E367" s="22"/>
      <c r="F367" s="22"/>
      <c r="G367" s="22"/>
    </row>
    <row r="368" spans="1:7" s="21" customFormat="1" ht="12.75" x14ac:dyDescent="0.2">
      <c r="A368" s="23"/>
      <c r="C368" s="22"/>
      <c r="D368" s="22"/>
      <c r="E368" s="22"/>
      <c r="F368" s="22"/>
      <c r="G368" s="22"/>
    </row>
    <row r="369" spans="1:7" s="21" customFormat="1" ht="12.75" x14ac:dyDescent="0.2">
      <c r="A369" s="23"/>
      <c r="C369" s="22"/>
      <c r="D369" s="22"/>
      <c r="E369" s="22"/>
      <c r="F369" s="22"/>
      <c r="G369" s="22"/>
    </row>
    <row r="370" spans="1:7" s="21" customFormat="1" ht="12.75" x14ac:dyDescent="0.2">
      <c r="A370" s="23"/>
      <c r="C370" s="22"/>
      <c r="D370" s="22"/>
      <c r="E370" s="22"/>
      <c r="F370" s="22"/>
      <c r="G370" s="22"/>
    </row>
    <row r="371" spans="1:7" s="21" customFormat="1" ht="12.75" x14ac:dyDescent="0.2">
      <c r="A371" s="23"/>
      <c r="C371" s="22"/>
      <c r="D371" s="22"/>
      <c r="E371" s="22"/>
      <c r="F371" s="22"/>
      <c r="G371" s="22"/>
    </row>
    <row r="372" spans="1:7" s="21" customFormat="1" ht="12.75" x14ac:dyDescent="0.2">
      <c r="A372" s="23"/>
      <c r="C372" s="22"/>
      <c r="D372" s="22"/>
      <c r="E372" s="22"/>
      <c r="F372" s="22"/>
      <c r="G372" s="22"/>
    </row>
    <row r="373" spans="1:7" s="21" customFormat="1" ht="12.75" x14ac:dyDescent="0.2">
      <c r="A373" s="23"/>
      <c r="C373" s="22"/>
      <c r="D373" s="22"/>
      <c r="E373" s="22"/>
      <c r="F373" s="22"/>
      <c r="G373" s="22"/>
    </row>
    <row r="374" spans="1:7" s="21" customFormat="1" ht="12.75" x14ac:dyDescent="0.2">
      <c r="A374" s="23"/>
      <c r="C374" s="22"/>
      <c r="D374" s="22"/>
      <c r="E374" s="22"/>
      <c r="F374" s="22"/>
      <c r="G374" s="22"/>
    </row>
    <row r="375" spans="1:7" s="21" customFormat="1" ht="12.75" x14ac:dyDescent="0.2">
      <c r="A375" s="23"/>
      <c r="C375" s="22"/>
      <c r="D375" s="22"/>
      <c r="E375" s="22"/>
      <c r="F375" s="22"/>
      <c r="G375" s="22"/>
    </row>
    <row r="376" spans="1:7" s="21" customFormat="1" ht="12.75" x14ac:dyDescent="0.2">
      <c r="A376" s="23"/>
      <c r="C376" s="22"/>
      <c r="D376" s="22"/>
      <c r="E376" s="22"/>
      <c r="F376" s="22"/>
      <c r="G376" s="22"/>
    </row>
    <row r="377" spans="1:7" s="21" customFormat="1" ht="12.75" x14ac:dyDescent="0.2">
      <c r="A377" s="23"/>
      <c r="C377" s="22"/>
      <c r="D377" s="22"/>
      <c r="E377" s="22"/>
      <c r="F377" s="22"/>
      <c r="G377" s="22"/>
    </row>
    <row r="378" spans="1:7" s="21" customFormat="1" ht="12.75" x14ac:dyDescent="0.2">
      <c r="A378" s="23"/>
      <c r="C378" s="22"/>
      <c r="D378" s="22"/>
      <c r="E378" s="22"/>
      <c r="F378" s="22"/>
      <c r="G378" s="22"/>
    </row>
    <row r="379" spans="1:7" s="21" customFormat="1" ht="12.75" x14ac:dyDescent="0.2">
      <c r="A379" s="23"/>
      <c r="C379" s="22"/>
      <c r="D379" s="22"/>
      <c r="E379" s="22"/>
      <c r="F379" s="22"/>
      <c r="G379" s="22"/>
    </row>
    <row r="380" spans="1:7" s="21" customFormat="1" ht="12.75" x14ac:dyDescent="0.2">
      <c r="A380" s="23"/>
      <c r="C380" s="22"/>
      <c r="D380" s="22"/>
      <c r="E380" s="22"/>
      <c r="F380" s="22"/>
      <c r="G380" s="22"/>
    </row>
    <row r="381" spans="1:7" s="21" customFormat="1" ht="12.75" x14ac:dyDescent="0.2">
      <c r="A381" s="23"/>
      <c r="C381" s="22"/>
      <c r="D381" s="22"/>
      <c r="E381" s="22"/>
      <c r="F381" s="22"/>
      <c r="G381" s="22"/>
    </row>
    <row r="382" spans="1:7" s="21" customFormat="1" ht="12.75" x14ac:dyDescent="0.2">
      <c r="A382" s="23"/>
      <c r="C382" s="22"/>
      <c r="D382" s="22"/>
      <c r="E382" s="22"/>
      <c r="F382" s="22"/>
      <c r="G382" s="22"/>
    </row>
    <row r="383" spans="1:7" s="21" customFormat="1" ht="12.75" x14ac:dyDescent="0.2">
      <c r="A383" s="23"/>
      <c r="C383" s="22"/>
      <c r="D383" s="22"/>
      <c r="E383" s="22"/>
      <c r="F383" s="22"/>
      <c r="G383" s="22"/>
    </row>
    <row r="384" spans="1:7" s="21" customFormat="1" ht="12.75" x14ac:dyDescent="0.2">
      <c r="A384" s="23"/>
      <c r="C384" s="22"/>
      <c r="D384" s="22"/>
      <c r="E384" s="22"/>
      <c r="F384" s="22"/>
      <c r="G384" s="22"/>
    </row>
    <row r="385" spans="1:7" s="21" customFormat="1" ht="12.75" x14ac:dyDescent="0.2">
      <c r="A385" s="23"/>
      <c r="C385" s="22"/>
      <c r="D385" s="22"/>
      <c r="E385" s="22"/>
      <c r="F385" s="22"/>
      <c r="G385" s="22"/>
    </row>
    <row r="386" spans="1:7" s="21" customFormat="1" ht="12.75" x14ac:dyDescent="0.2">
      <c r="A386" s="23"/>
      <c r="C386" s="22"/>
      <c r="D386" s="22"/>
      <c r="E386" s="22"/>
      <c r="F386" s="22"/>
      <c r="G386" s="22"/>
    </row>
    <row r="387" spans="1:7" s="21" customFormat="1" ht="12.75" x14ac:dyDescent="0.2">
      <c r="A387" s="23"/>
      <c r="C387" s="22"/>
      <c r="D387" s="22"/>
      <c r="E387" s="22"/>
      <c r="F387" s="22"/>
      <c r="G387" s="22"/>
    </row>
    <row r="388" spans="1:7" s="21" customFormat="1" ht="12.75" x14ac:dyDescent="0.2">
      <c r="A388" s="23"/>
      <c r="C388" s="22"/>
      <c r="D388" s="22"/>
      <c r="E388" s="22"/>
      <c r="F388" s="22"/>
      <c r="G388" s="22"/>
    </row>
    <row r="389" spans="1:7" s="21" customFormat="1" ht="12.75" x14ac:dyDescent="0.2">
      <c r="A389" s="23"/>
      <c r="C389" s="22"/>
      <c r="D389" s="22"/>
      <c r="E389" s="22"/>
      <c r="F389" s="22"/>
      <c r="G389" s="22"/>
    </row>
    <row r="390" spans="1:7" s="21" customFormat="1" ht="12.75" x14ac:dyDescent="0.2">
      <c r="A390" s="23"/>
      <c r="C390" s="22"/>
      <c r="D390" s="22"/>
      <c r="E390" s="22"/>
      <c r="F390" s="22"/>
      <c r="G390" s="22"/>
    </row>
    <row r="391" spans="1:7" s="21" customFormat="1" ht="12.75" x14ac:dyDescent="0.2">
      <c r="A391" s="23"/>
      <c r="C391" s="22"/>
      <c r="D391" s="22"/>
      <c r="E391" s="22"/>
      <c r="F391" s="22"/>
      <c r="G391" s="22"/>
    </row>
    <row r="392" spans="1:7" s="21" customFormat="1" ht="12.75" x14ac:dyDescent="0.2">
      <c r="A392" s="23"/>
      <c r="C392" s="22"/>
      <c r="D392" s="22"/>
      <c r="E392" s="22"/>
      <c r="F392" s="22"/>
      <c r="G392" s="22"/>
    </row>
    <row r="393" spans="1:7" s="21" customFormat="1" ht="12.75" x14ac:dyDescent="0.2">
      <c r="A393" s="23"/>
      <c r="C393" s="22"/>
      <c r="D393" s="22"/>
      <c r="E393" s="22"/>
      <c r="F393" s="22"/>
      <c r="G393" s="22"/>
    </row>
    <row r="394" spans="1:7" s="21" customFormat="1" ht="12.75" x14ac:dyDescent="0.2">
      <c r="A394" s="23"/>
      <c r="C394" s="22"/>
      <c r="D394" s="22"/>
      <c r="E394" s="22"/>
      <c r="F394" s="22"/>
      <c r="G394" s="22"/>
    </row>
    <row r="395" spans="1:7" s="21" customFormat="1" ht="12.75" x14ac:dyDescent="0.2">
      <c r="A395" s="23"/>
      <c r="C395" s="22"/>
      <c r="D395" s="22"/>
      <c r="E395" s="22"/>
      <c r="F395" s="22"/>
      <c r="G395" s="22"/>
    </row>
    <row r="396" spans="1:7" s="21" customFormat="1" ht="12.75" x14ac:dyDescent="0.2">
      <c r="A396" s="23"/>
      <c r="C396" s="22"/>
      <c r="D396" s="22"/>
      <c r="E396" s="22"/>
      <c r="F396" s="22"/>
      <c r="G396" s="22"/>
    </row>
    <row r="397" spans="1:7" s="21" customFormat="1" ht="12.75" x14ac:dyDescent="0.2">
      <c r="A397" s="23"/>
      <c r="C397" s="22"/>
      <c r="D397" s="22"/>
      <c r="E397" s="22"/>
      <c r="F397" s="22"/>
      <c r="G397" s="22"/>
    </row>
    <row r="398" spans="1:7" s="21" customFormat="1" ht="12.75" x14ac:dyDescent="0.2">
      <c r="A398" s="23"/>
      <c r="C398" s="22"/>
      <c r="D398" s="22"/>
      <c r="E398" s="22"/>
      <c r="F398" s="22"/>
      <c r="G398" s="22"/>
    </row>
    <row r="399" spans="1:7" s="21" customFormat="1" ht="12.75" x14ac:dyDescent="0.2">
      <c r="A399" s="23"/>
      <c r="C399" s="22"/>
      <c r="D399" s="22"/>
      <c r="E399" s="22"/>
      <c r="F399" s="22"/>
      <c r="G399" s="22"/>
    </row>
    <row r="400" spans="1:7" s="21" customFormat="1" ht="12.75" x14ac:dyDescent="0.2">
      <c r="A400" s="23"/>
      <c r="C400" s="22"/>
      <c r="D400" s="22"/>
      <c r="E400" s="22"/>
      <c r="F400" s="22"/>
      <c r="G400" s="22"/>
    </row>
    <row r="401" spans="1:7" s="21" customFormat="1" ht="12.75" x14ac:dyDescent="0.2">
      <c r="A401" s="23"/>
      <c r="C401" s="22"/>
      <c r="D401" s="22"/>
      <c r="E401" s="22"/>
      <c r="F401" s="22"/>
      <c r="G401" s="22"/>
    </row>
    <row r="402" spans="1:7" s="21" customFormat="1" ht="12.75" x14ac:dyDescent="0.2">
      <c r="A402" s="23"/>
      <c r="C402" s="22"/>
      <c r="D402" s="22"/>
      <c r="E402" s="22"/>
      <c r="F402" s="22"/>
      <c r="G402" s="22"/>
    </row>
    <row r="403" spans="1:7" s="21" customFormat="1" ht="12.75" x14ac:dyDescent="0.2">
      <c r="A403" s="23"/>
      <c r="C403" s="22"/>
      <c r="D403" s="22"/>
      <c r="E403" s="22"/>
      <c r="F403" s="22"/>
      <c r="G403" s="22"/>
    </row>
    <row r="404" spans="1:7" s="21" customFormat="1" ht="12.75" x14ac:dyDescent="0.2">
      <c r="A404" s="23"/>
      <c r="C404" s="22"/>
      <c r="D404" s="22"/>
      <c r="E404" s="22"/>
      <c r="F404" s="22"/>
      <c r="G404" s="22"/>
    </row>
    <row r="405" spans="1:7" s="21" customFormat="1" ht="12.75" x14ac:dyDescent="0.2">
      <c r="A405" s="23"/>
      <c r="C405" s="22"/>
      <c r="D405" s="22"/>
      <c r="E405" s="22"/>
      <c r="F405" s="22"/>
      <c r="G405" s="22"/>
    </row>
    <row r="406" spans="1:7" s="21" customFormat="1" ht="12.75" x14ac:dyDescent="0.2">
      <c r="A406" s="23"/>
      <c r="C406" s="22"/>
      <c r="D406" s="22"/>
      <c r="E406" s="22"/>
      <c r="F406" s="22"/>
      <c r="G406" s="22"/>
    </row>
    <row r="407" spans="1:7" s="21" customFormat="1" ht="12.75" x14ac:dyDescent="0.2">
      <c r="A407" s="23"/>
      <c r="C407" s="22"/>
      <c r="D407" s="22"/>
      <c r="E407" s="22"/>
      <c r="F407" s="22"/>
      <c r="G407" s="22"/>
    </row>
    <row r="408" spans="1:7" s="21" customFormat="1" ht="12.75" x14ac:dyDescent="0.2">
      <c r="A408" s="23"/>
      <c r="C408" s="22"/>
      <c r="D408" s="22"/>
      <c r="E408" s="22"/>
      <c r="F408" s="22"/>
      <c r="G408" s="22"/>
    </row>
    <row r="409" spans="1:7" s="21" customFormat="1" ht="12.75" x14ac:dyDescent="0.2">
      <c r="A409" s="23"/>
      <c r="C409" s="22"/>
      <c r="D409" s="22"/>
      <c r="E409" s="22"/>
      <c r="F409" s="22"/>
      <c r="G409" s="22"/>
    </row>
    <row r="410" spans="1:7" s="21" customFormat="1" ht="12.75" x14ac:dyDescent="0.2">
      <c r="A410" s="23"/>
      <c r="C410" s="22"/>
      <c r="D410" s="22"/>
      <c r="E410" s="22"/>
      <c r="F410" s="22"/>
      <c r="G410" s="22"/>
    </row>
    <row r="411" spans="1:7" s="21" customFormat="1" ht="12.75" x14ac:dyDescent="0.2">
      <c r="A411" s="23"/>
      <c r="C411" s="22"/>
      <c r="D411" s="22"/>
      <c r="E411" s="22"/>
      <c r="F411" s="22"/>
      <c r="G411" s="22"/>
    </row>
    <row r="412" spans="1:7" s="21" customFormat="1" ht="12.75" x14ac:dyDescent="0.2">
      <c r="A412" s="23"/>
      <c r="C412" s="22"/>
      <c r="D412" s="22"/>
      <c r="E412" s="22"/>
      <c r="F412" s="22"/>
      <c r="G412" s="22"/>
    </row>
    <row r="413" spans="1:7" s="21" customFormat="1" ht="12.75" x14ac:dyDescent="0.2">
      <c r="A413" s="23"/>
      <c r="C413" s="22"/>
      <c r="D413" s="22"/>
      <c r="E413" s="22"/>
      <c r="F413" s="22"/>
      <c r="G413" s="22"/>
    </row>
    <row r="414" spans="1:7" s="21" customFormat="1" ht="12.75" x14ac:dyDescent="0.2">
      <c r="A414" s="23"/>
      <c r="C414" s="22"/>
      <c r="D414" s="22"/>
      <c r="E414" s="22"/>
      <c r="F414" s="22"/>
      <c r="G414" s="22"/>
    </row>
    <row r="415" spans="1:7" s="21" customFormat="1" ht="12.75" x14ac:dyDescent="0.2">
      <c r="A415" s="23"/>
      <c r="C415" s="22"/>
      <c r="D415" s="22"/>
      <c r="E415" s="22"/>
      <c r="F415" s="22"/>
      <c r="G415" s="22"/>
    </row>
    <row r="416" spans="1:7" s="21" customFormat="1" ht="12.75" x14ac:dyDescent="0.2">
      <c r="A416" s="23"/>
      <c r="C416" s="22"/>
      <c r="D416" s="22"/>
      <c r="E416" s="22"/>
      <c r="F416" s="22"/>
      <c r="G416" s="22"/>
    </row>
    <row r="417" spans="1:7" s="21" customFormat="1" ht="12.75" x14ac:dyDescent="0.2">
      <c r="A417" s="23"/>
      <c r="C417" s="22"/>
      <c r="D417" s="22"/>
      <c r="E417" s="22"/>
      <c r="F417" s="22"/>
      <c r="G417" s="22"/>
    </row>
    <row r="418" spans="1:7" s="21" customFormat="1" ht="12.75" x14ac:dyDescent="0.2">
      <c r="A418" s="23"/>
      <c r="C418" s="22"/>
      <c r="D418" s="22"/>
      <c r="E418" s="22"/>
      <c r="F418" s="22"/>
      <c r="G418" s="22"/>
    </row>
    <row r="419" spans="1:7" s="21" customFormat="1" ht="12.75" x14ac:dyDescent="0.2">
      <c r="A419" s="23"/>
      <c r="C419" s="22"/>
      <c r="D419" s="22"/>
      <c r="E419" s="22"/>
      <c r="F419" s="22"/>
      <c r="G419" s="22"/>
    </row>
    <row r="420" spans="1:7" s="21" customFormat="1" ht="12.75" x14ac:dyDescent="0.2">
      <c r="A420" s="23"/>
      <c r="C420" s="22"/>
      <c r="D420" s="22"/>
      <c r="E420" s="22"/>
      <c r="F420" s="22"/>
      <c r="G420" s="22"/>
    </row>
    <row r="421" spans="1:7" s="21" customFormat="1" ht="12.75" x14ac:dyDescent="0.2">
      <c r="A421" s="23"/>
      <c r="C421" s="22"/>
      <c r="D421" s="22"/>
      <c r="E421" s="22"/>
      <c r="F421" s="22"/>
      <c r="G421" s="22"/>
    </row>
    <row r="422" spans="1:7" s="21" customFormat="1" ht="12.75" x14ac:dyDescent="0.2">
      <c r="A422" s="23"/>
      <c r="C422" s="22"/>
      <c r="D422" s="22"/>
      <c r="E422" s="22"/>
      <c r="F422" s="22"/>
      <c r="G422" s="22"/>
    </row>
    <row r="423" spans="1:7" s="21" customFormat="1" ht="12.75" x14ac:dyDescent="0.2">
      <c r="A423" s="23"/>
      <c r="C423" s="22"/>
      <c r="D423" s="22"/>
      <c r="E423" s="22"/>
      <c r="F423" s="22"/>
      <c r="G423" s="22"/>
    </row>
    <row r="424" spans="1:7" s="21" customFormat="1" ht="12.75" x14ac:dyDescent="0.2">
      <c r="A424" s="23"/>
      <c r="C424" s="22"/>
      <c r="D424" s="22"/>
      <c r="E424" s="22"/>
      <c r="F424" s="22"/>
      <c r="G424" s="22"/>
    </row>
    <row r="425" spans="1:7" s="21" customFormat="1" ht="12.75" x14ac:dyDescent="0.2">
      <c r="A425" s="23"/>
      <c r="C425" s="22"/>
      <c r="D425" s="22"/>
      <c r="E425" s="22"/>
      <c r="F425" s="22"/>
      <c r="G425" s="22"/>
    </row>
    <row r="426" spans="1:7" s="21" customFormat="1" ht="12.75" x14ac:dyDescent="0.2">
      <c r="A426" s="23"/>
      <c r="C426" s="22"/>
      <c r="D426" s="22"/>
      <c r="E426" s="22"/>
      <c r="F426" s="22"/>
      <c r="G426" s="22"/>
    </row>
    <row r="427" spans="1:7" s="21" customFormat="1" ht="12.75" x14ac:dyDescent="0.2">
      <c r="A427" s="23"/>
      <c r="C427" s="22"/>
      <c r="D427" s="22"/>
      <c r="E427" s="22"/>
      <c r="F427" s="22"/>
      <c r="G427" s="22"/>
    </row>
    <row r="428" spans="1:7" s="21" customFormat="1" ht="12.75" x14ac:dyDescent="0.2">
      <c r="A428" s="23"/>
      <c r="C428" s="22"/>
      <c r="D428" s="22"/>
      <c r="E428" s="22"/>
      <c r="F428" s="22"/>
      <c r="G428" s="22"/>
    </row>
    <row r="429" spans="1:7" s="21" customFormat="1" ht="12.75" x14ac:dyDescent="0.2">
      <c r="A429" s="23"/>
      <c r="C429" s="22"/>
      <c r="D429" s="22"/>
      <c r="E429" s="22"/>
      <c r="F429" s="22"/>
      <c r="G429" s="22"/>
    </row>
    <row r="430" spans="1:7" s="21" customFormat="1" ht="12.75" x14ac:dyDescent="0.2">
      <c r="A430" s="23"/>
      <c r="C430" s="22"/>
      <c r="D430" s="22"/>
      <c r="E430" s="22"/>
      <c r="F430" s="22"/>
      <c r="G430" s="22"/>
    </row>
    <row r="431" spans="1:7" s="21" customFormat="1" ht="12.75" x14ac:dyDescent="0.2">
      <c r="A431" s="23"/>
      <c r="C431" s="22"/>
      <c r="D431" s="22"/>
      <c r="E431" s="22"/>
      <c r="F431" s="22"/>
      <c r="G431" s="22"/>
    </row>
    <row r="432" spans="1:7" s="21" customFormat="1" ht="12.75" x14ac:dyDescent="0.2">
      <c r="A432" s="23"/>
      <c r="C432" s="22"/>
      <c r="D432" s="22"/>
      <c r="E432" s="22"/>
      <c r="F432" s="22"/>
      <c r="G432" s="22"/>
    </row>
    <row r="433" spans="1:7" s="21" customFormat="1" ht="12.75" x14ac:dyDescent="0.2">
      <c r="A433" s="23"/>
      <c r="C433" s="22"/>
      <c r="D433" s="22"/>
      <c r="E433" s="22"/>
      <c r="F433" s="22"/>
      <c r="G433" s="22"/>
    </row>
    <row r="434" spans="1:7" s="21" customFormat="1" ht="12.75" x14ac:dyDescent="0.2">
      <c r="A434" s="23"/>
      <c r="C434" s="22"/>
      <c r="D434" s="22"/>
      <c r="E434" s="22"/>
      <c r="F434" s="22"/>
      <c r="G434" s="22"/>
    </row>
    <row r="435" spans="1:7" s="21" customFormat="1" ht="12.75" x14ac:dyDescent="0.2">
      <c r="A435" s="23"/>
      <c r="C435" s="22"/>
      <c r="D435" s="22"/>
      <c r="E435" s="22"/>
      <c r="F435" s="22"/>
      <c r="G435" s="22"/>
    </row>
  </sheetData>
  <mergeCells count="2">
    <mergeCell ref="A1:G1"/>
    <mergeCell ref="A2:G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7"/>
  <sheetViews>
    <sheetView workbookViewId="0">
      <pane xSplit="2" ySplit="5" topLeftCell="C305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180" t="str">
        <f>CONCATENATE("FY ",Notes!B1," Budget for State Payment to School Districts (Budget by Source)")</f>
        <v>FY 2019 Budget for State Payment to School Districts (Budget by Source)</v>
      </c>
      <c r="B1" s="180"/>
      <c r="C1" s="180"/>
      <c r="D1" s="180"/>
      <c r="E1" s="180"/>
      <c r="F1" s="180"/>
      <c r="G1" s="180"/>
      <c r="H1" s="180"/>
      <c r="I1" s="180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14</v>
      </c>
      <c r="H2" s="30" t="s">
        <v>15</v>
      </c>
      <c r="I2" s="30" t="s">
        <v>16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17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3 State Foundation Aid (Code 3111)</v>
      </c>
      <c r="I4" s="18" t="str">
        <f>Notes!B3</f>
        <v>Pay 3 Regular State Payment Budget</v>
      </c>
    </row>
    <row r="5" spans="1:10" s="14" customFormat="1" ht="42" customHeight="1" x14ac:dyDescent="0.2">
      <c r="A5" s="13"/>
      <c r="C5" s="33" t="s">
        <v>764</v>
      </c>
      <c r="D5" s="33" t="s">
        <v>712</v>
      </c>
      <c r="E5" s="34" t="s">
        <v>362</v>
      </c>
      <c r="F5" s="33" t="s">
        <v>363</v>
      </c>
      <c r="G5" s="33" t="s">
        <v>763</v>
      </c>
      <c r="H5" s="34" t="s">
        <v>765</v>
      </c>
      <c r="I5" s="34" t="s">
        <v>360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127354</v>
      </c>
      <c r="D6" s="22">
        <f>INDEX(Data[],MATCH($A6,Data[Dist],0),MATCH(D$4,Data[#Headers],0))</f>
        <v>380653</v>
      </c>
      <c r="E6" s="22">
        <f>INDEX(Data[],MATCH($A6,Data[Dist],0),MATCH(E$4,Data[#Headers],0))</f>
        <v>35943</v>
      </c>
      <c r="F6" s="22">
        <f>INDEX(Data[],MATCH($A6,Data[Dist],0),MATCH(F$4,Data[#Headers],0))</f>
        <v>41066</v>
      </c>
      <c r="G6" s="22">
        <f>INDEX(Data[],MATCH($A6,Data[Dist],0),MATCH(G$4,Data[#Headers],0))</f>
        <v>204487</v>
      </c>
      <c r="H6" s="22">
        <f>INDEX(Data[],MATCH($A6,Data[Dist],0),MATCH(H$4,Data[#Headers],0))</f>
        <v>2194298</v>
      </c>
      <c r="I6" s="22">
        <f>INDEX(Data[],MATCH($A6,Data[Dist],0),MATCH(I$4,Data[#Headers],0))</f>
        <v>2983801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33514</v>
      </c>
      <c r="D7" s="22">
        <f>INDEX(Data[],MATCH($A7,Data[Dist],0),MATCH(D$4,Data[#Headers],0))</f>
        <v>189976</v>
      </c>
      <c r="E7" s="22">
        <f>INDEX(Data[],MATCH($A7,Data[Dist],0),MATCH(E$4,Data[#Headers],0))</f>
        <v>20919</v>
      </c>
      <c r="F7" s="22">
        <f>INDEX(Data[],MATCH($A7,Data[Dist],0),MATCH(F$4,Data[#Headers],0))</f>
        <v>18937</v>
      </c>
      <c r="G7" s="22">
        <f>INDEX(Data[],MATCH($A7,Data[Dist],0),MATCH(G$4,Data[#Headers],0))</f>
        <v>98048</v>
      </c>
      <c r="H7" s="22">
        <f>INDEX(Data[],MATCH($A7,Data[Dist],0),MATCH(H$4,Data[#Headers],0))</f>
        <v>1088566</v>
      </c>
      <c r="I7" s="22">
        <f>INDEX(Data[],MATCH($A7,Data[Dist],0),MATCH(I$4,Data[#Headers],0))</f>
        <v>1449960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0</v>
      </c>
      <c r="D8" s="22">
        <f>INDEX(Data[],MATCH($A8,Data[Dist],0),MATCH(D$4,Data[#Headers],0))</f>
        <v>1022813</v>
      </c>
      <c r="E8" s="22">
        <f>INDEX(Data[],MATCH($A8,Data[Dist],0),MATCH(E$4,Data[#Headers],0))</f>
        <v>115101</v>
      </c>
      <c r="F8" s="22">
        <f>INDEX(Data[],MATCH($A8,Data[Dist],0),MATCH(F$4,Data[#Headers],0))</f>
        <v>110673</v>
      </c>
      <c r="G8" s="22">
        <f>INDEX(Data[],MATCH($A8,Data[Dist],0),MATCH(G$4,Data[#Headers],0))</f>
        <v>564780</v>
      </c>
      <c r="H8" s="22">
        <f>INDEX(Data[],MATCH($A8,Data[Dist],0),MATCH(H$4,Data[#Headers],0))</f>
        <v>8819693</v>
      </c>
      <c r="I8" s="22">
        <f>INDEX(Data[],MATCH($A8,Data[Dist],0),MATCH(I$4,Data[#Headers],0))</f>
        <v>10633060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107245</v>
      </c>
      <c r="D9" s="22">
        <f>INDEX(Data[],MATCH($A9,Data[Dist],0),MATCH(D$4,Data[#Headers],0))</f>
        <v>338662</v>
      </c>
      <c r="E9" s="22">
        <f>INDEX(Data[],MATCH($A9,Data[Dist],0),MATCH(E$4,Data[#Headers],0))</f>
        <v>37415</v>
      </c>
      <c r="F9" s="22">
        <f>INDEX(Data[],MATCH($A9,Data[Dist],0),MATCH(F$4,Data[#Headers],0))</f>
        <v>38783</v>
      </c>
      <c r="G9" s="22">
        <f>INDEX(Data[],MATCH($A9,Data[Dist],0),MATCH(G$4,Data[#Headers],0))</f>
        <v>177845</v>
      </c>
      <c r="H9" s="22">
        <f>INDEX(Data[],MATCH($A9,Data[Dist],0),MATCH(H$4,Data[#Headers],0))</f>
        <v>2822233</v>
      </c>
      <c r="I9" s="22">
        <f>INDEX(Data[],MATCH($A9,Data[Dist],0),MATCH(I$4,Data[#Headers],0))</f>
        <v>3522183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53623</v>
      </c>
      <c r="D10" s="22">
        <f>INDEX(Data[],MATCH($A10,Data[Dist],0),MATCH(D$4,Data[#Headers],0))</f>
        <v>107029</v>
      </c>
      <c r="E10" s="22">
        <f>INDEX(Data[],MATCH($A10,Data[Dist],0),MATCH(E$4,Data[#Headers],0))</f>
        <v>9416</v>
      </c>
      <c r="F10" s="22">
        <f>INDEX(Data[],MATCH($A10,Data[Dist],0),MATCH(F$4,Data[#Headers],0))</f>
        <v>9074</v>
      </c>
      <c r="G10" s="22">
        <f>INDEX(Data[],MATCH($A10,Data[Dist],0),MATCH(G$4,Data[#Headers],0))</f>
        <v>69936</v>
      </c>
      <c r="H10" s="22">
        <f>INDEX(Data[],MATCH($A10,Data[Dist],0),MATCH(H$4,Data[#Headers],0))</f>
        <v>712271</v>
      </c>
      <c r="I10" s="22">
        <f>INDEX(Data[],MATCH($A10,Data[Dist],0),MATCH(I$4,Data[#Headers],0))</f>
        <v>961349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221193</v>
      </c>
      <c r="D11" s="22">
        <f>INDEX(Data[],MATCH($A11,Data[Dist],0),MATCH(D$4,Data[#Headers],0))</f>
        <v>681310</v>
      </c>
      <c r="E11" s="22">
        <f>INDEX(Data[],MATCH($A11,Data[Dist],0),MATCH(E$4,Data[#Headers],0))</f>
        <v>76340</v>
      </c>
      <c r="F11" s="22">
        <f>INDEX(Data[],MATCH($A11,Data[Dist],0),MATCH(F$4,Data[#Headers],0))</f>
        <v>78905</v>
      </c>
      <c r="G11" s="22">
        <f>INDEX(Data[],MATCH($A11,Data[Dist],0),MATCH(G$4,Data[#Headers],0))</f>
        <v>393032</v>
      </c>
      <c r="H11" s="22">
        <f>INDEX(Data[],MATCH($A11,Data[Dist],0),MATCH(H$4,Data[#Headers],0))</f>
        <v>6427001</v>
      </c>
      <c r="I11" s="22">
        <f>INDEX(Data[],MATCH($A11,Data[Dist],0),MATCH(I$4,Data[#Headers],0))</f>
        <v>7877781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107245</v>
      </c>
      <c r="D12" s="22">
        <f>INDEX(Data[],MATCH($A12,Data[Dist],0),MATCH(D$4,Data[#Headers],0))</f>
        <v>308530</v>
      </c>
      <c r="E12" s="22">
        <f>INDEX(Data[],MATCH($A12,Data[Dist],0),MATCH(E$4,Data[#Headers],0))</f>
        <v>29711</v>
      </c>
      <c r="F12" s="22">
        <f>INDEX(Data[],MATCH($A12,Data[Dist],0),MATCH(F$4,Data[#Headers],0))</f>
        <v>35610</v>
      </c>
      <c r="G12" s="22">
        <f>INDEX(Data[],MATCH($A12,Data[Dist],0),MATCH(G$4,Data[#Headers],0))</f>
        <v>171510</v>
      </c>
      <c r="H12" s="22">
        <f>INDEX(Data[],MATCH($A12,Data[Dist],0),MATCH(H$4,Data[#Headers],0))</f>
        <v>2329037</v>
      </c>
      <c r="I12" s="22">
        <f>INDEX(Data[],MATCH($A12,Data[Dist],0),MATCH(I$4,Data[#Headers],0))</f>
        <v>2981643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70380</v>
      </c>
      <c r="D13" s="22">
        <f>INDEX(Data[],MATCH($A13,Data[Dist],0),MATCH(D$4,Data[#Headers],0))</f>
        <v>173990</v>
      </c>
      <c r="E13" s="22">
        <f>INDEX(Data[],MATCH($A13,Data[Dist],0),MATCH(E$4,Data[#Headers],0))</f>
        <v>21580</v>
      </c>
      <c r="F13" s="22">
        <f>INDEX(Data[],MATCH($A13,Data[Dist],0),MATCH(F$4,Data[#Headers],0))</f>
        <v>16496</v>
      </c>
      <c r="G13" s="22">
        <f>INDEX(Data[],MATCH($A13,Data[Dist],0),MATCH(G$4,Data[#Headers],0))</f>
        <v>91001</v>
      </c>
      <c r="H13" s="22">
        <f>INDEX(Data[],MATCH($A13,Data[Dist],0),MATCH(H$4,Data[#Headers],0))</f>
        <v>1150820</v>
      </c>
      <c r="I13" s="22">
        <f>INDEX(Data[],MATCH($A13,Data[Dist],0),MATCH(I$4,Data[#Headers],0))</f>
        <v>1524267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398818</v>
      </c>
      <c r="D14" s="22">
        <f>INDEX(Data[],MATCH($A14,Data[Dist],0),MATCH(D$4,Data[#Headers],0))</f>
        <v>774189</v>
      </c>
      <c r="E14" s="22">
        <f>INDEX(Data[],MATCH($A14,Data[Dist],0),MATCH(E$4,Data[#Headers],0))</f>
        <v>81854</v>
      </c>
      <c r="F14" s="22">
        <f>INDEX(Data[],MATCH($A14,Data[Dist],0),MATCH(F$4,Data[#Headers],0))</f>
        <v>93634</v>
      </c>
      <c r="G14" s="22">
        <f>INDEX(Data[],MATCH($A14,Data[Dist],0),MATCH(G$4,Data[#Headers],0))</f>
        <v>429739</v>
      </c>
      <c r="H14" s="22">
        <f>INDEX(Data[],MATCH($A14,Data[Dist],0),MATCH(H$4,Data[#Headers],0))</f>
        <v>4808609</v>
      </c>
      <c r="I14" s="22">
        <f>INDEX(Data[],MATCH($A14,Data[Dist],0),MATCH(I$4,Data[#Headers],0))</f>
        <v>6586843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234599</v>
      </c>
      <c r="D15" s="22">
        <f>INDEX(Data[],MATCH($A15,Data[Dist],0),MATCH(D$4,Data[#Headers],0))</f>
        <v>624930</v>
      </c>
      <c r="E15" s="22">
        <f>INDEX(Data[],MATCH($A15,Data[Dist],0),MATCH(E$4,Data[#Headers],0))</f>
        <v>72666</v>
      </c>
      <c r="F15" s="22">
        <f>INDEX(Data[],MATCH($A15,Data[Dist],0),MATCH(F$4,Data[#Headers],0))</f>
        <v>66123</v>
      </c>
      <c r="G15" s="22">
        <f>INDEX(Data[],MATCH($A15,Data[Dist],0),MATCH(G$4,Data[#Headers],0))</f>
        <v>357256</v>
      </c>
      <c r="H15" s="22">
        <f>INDEX(Data[],MATCH($A15,Data[Dist],0),MATCH(H$4,Data[#Headers],0))</f>
        <v>4543825</v>
      </c>
      <c r="I15" s="22">
        <f>INDEX(Data[],MATCH($A15,Data[Dist],0),MATCH(I$4,Data[#Headers],0))</f>
        <v>5899399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117300</v>
      </c>
      <c r="D16" s="22">
        <f>INDEX(Data[],MATCH($A16,Data[Dist],0),MATCH(D$4,Data[#Headers],0))</f>
        <v>388251</v>
      </c>
      <c r="E16" s="22">
        <f>INDEX(Data[],MATCH($A16,Data[Dist],0),MATCH(E$4,Data[#Headers],0))</f>
        <v>36473</v>
      </c>
      <c r="F16" s="22">
        <f>INDEX(Data[],MATCH($A16,Data[Dist],0),MATCH(F$4,Data[#Headers],0))</f>
        <v>43447</v>
      </c>
      <c r="G16" s="22">
        <f>INDEX(Data[],MATCH($A16,Data[Dist],0),MATCH(G$4,Data[#Headers],0))</f>
        <v>191376</v>
      </c>
      <c r="H16" s="22">
        <f>INDEX(Data[],MATCH($A16,Data[Dist],0),MATCH(H$4,Data[#Headers],0))</f>
        <v>2541249</v>
      </c>
      <c r="I16" s="22">
        <f>INDEX(Data[],MATCH($A16,Data[Dist],0),MATCH(I$4,Data[#Headers],0))</f>
        <v>3318096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231248</v>
      </c>
      <c r="D17" s="22">
        <f>INDEX(Data[],MATCH($A17,Data[Dist],0),MATCH(D$4,Data[#Headers],0))</f>
        <v>494760</v>
      </c>
      <c r="E17" s="22">
        <f>INDEX(Data[],MATCH($A17,Data[Dist],0),MATCH(E$4,Data[#Headers],0))</f>
        <v>60179</v>
      </c>
      <c r="F17" s="22">
        <f>INDEX(Data[],MATCH($A17,Data[Dist],0),MATCH(F$4,Data[#Headers],0))</f>
        <v>56529</v>
      </c>
      <c r="G17" s="22">
        <f>INDEX(Data[],MATCH($A17,Data[Dist],0),MATCH(G$4,Data[#Headers],0))</f>
        <v>253038</v>
      </c>
      <c r="H17" s="22">
        <f>INDEX(Data[],MATCH($A17,Data[Dist],0),MATCH(H$4,Data[#Headers],0))</f>
        <v>3749935</v>
      </c>
      <c r="I17" s="22">
        <f>INDEX(Data[],MATCH($A17,Data[Dist],0),MATCH(I$4,Data[#Headers],0))</f>
        <v>4845689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928342</v>
      </c>
      <c r="D18" s="22">
        <f>INDEX(Data[],MATCH($A18,Data[Dist],0),MATCH(D$4,Data[#Headers],0))</f>
        <v>2493626</v>
      </c>
      <c r="E18" s="22">
        <f>INDEX(Data[],MATCH($A18,Data[Dist],0),MATCH(E$4,Data[#Headers],0))</f>
        <v>277251</v>
      </c>
      <c r="F18" s="22">
        <f>INDEX(Data[],MATCH($A18,Data[Dist],0),MATCH(F$4,Data[#Headers],0))</f>
        <v>306017</v>
      </c>
      <c r="G18" s="22">
        <f>INDEX(Data[],MATCH($A18,Data[Dist],0),MATCH(G$4,Data[#Headers],0))</f>
        <v>1403885</v>
      </c>
      <c r="H18" s="22">
        <f>INDEX(Data[],MATCH($A18,Data[Dist],0),MATCH(H$4,Data[#Headers],0))</f>
        <v>12707889</v>
      </c>
      <c r="I18" s="22">
        <f>INDEX(Data[],MATCH($A18,Data[Dist],0),MATCH(I$4,Data[#Headers],0))</f>
        <v>18117010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204436</v>
      </c>
      <c r="D19" s="22">
        <f>INDEX(Data[],MATCH($A19,Data[Dist],0),MATCH(D$4,Data[#Headers],0))</f>
        <v>777325</v>
      </c>
      <c r="E19" s="22">
        <f>INDEX(Data[],MATCH($A19,Data[Dist],0),MATCH(E$4,Data[#Headers],0))</f>
        <v>81421</v>
      </c>
      <c r="F19" s="22">
        <f>INDEX(Data[],MATCH($A19,Data[Dist],0),MATCH(F$4,Data[#Headers],0))</f>
        <v>92439</v>
      </c>
      <c r="G19" s="22">
        <f>INDEX(Data[],MATCH($A19,Data[Dist],0),MATCH(G$4,Data[#Headers],0))</f>
        <v>417332</v>
      </c>
      <c r="H19" s="22">
        <f>INDEX(Data[],MATCH($A19,Data[Dist],0),MATCH(H$4,Data[#Headers],0))</f>
        <v>6286609</v>
      </c>
      <c r="I19" s="22">
        <f>INDEX(Data[],MATCH($A19,Data[Dist],0),MATCH(I$4,Data[#Headers],0))</f>
        <v>7859562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63677</v>
      </c>
      <c r="D20" s="22">
        <f>INDEX(Data[],MATCH($A20,Data[Dist],0),MATCH(D$4,Data[#Headers],0))</f>
        <v>148799</v>
      </c>
      <c r="E20" s="22">
        <f>INDEX(Data[],MATCH($A20,Data[Dist],0),MATCH(E$4,Data[#Headers],0))</f>
        <v>18783</v>
      </c>
      <c r="F20" s="22">
        <f>INDEX(Data[],MATCH($A20,Data[Dist],0),MATCH(F$4,Data[#Headers],0))</f>
        <v>16393</v>
      </c>
      <c r="G20" s="22">
        <f>INDEX(Data[],MATCH($A20,Data[Dist],0),MATCH(G$4,Data[#Headers],0))</f>
        <v>77805</v>
      </c>
      <c r="H20" s="22">
        <f>INDEX(Data[],MATCH($A20,Data[Dist],0),MATCH(H$4,Data[#Headers],0))</f>
        <v>1082041</v>
      </c>
      <c r="I20" s="22">
        <f>INDEX(Data[],MATCH($A20,Data[Dist],0),MATCH(I$4,Data[#Headers],0))</f>
        <v>1407498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1085858</v>
      </c>
      <c r="D21" s="22">
        <f>INDEX(Data[],MATCH($A21,Data[Dist],0),MATCH(D$4,Data[#Headers],0))</f>
        <v>6105451</v>
      </c>
      <c r="E21" s="22">
        <f>INDEX(Data[],MATCH($A21,Data[Dist],0),MATCH(E$4,Data[#Headers],0))</f>
        <v>705164</v>
      </c>
      <c r="F21" s="22">
        <f>INDEX(Data[],MATCH($A21,Data[Dist],0),MATCH(F$4,Data[#Headers],0))</f>
        <v>672481</v>
      </c>
      <c r="G21" s="22">
        <f>INDEX(Data[],MATCH($A21,Data[Dist],0),MATCH(G$4,Data[#Headers],0))</f>
        <v>3770651</v>
      </c>
      <c r="H21" s="22">
        <f>INDEX(Data[],MATCH($A21,Data[Dist],0),MATCH(H$4,Data[#Headers],0))</f>
        <v>54393909</v>
      </c>
      <c r="I21" s="22">
        <f>INDEX(Data[],MATCH($A21,Data[Dist],0),MATCH(I$4,Data[#Headers],0))</f>
        <v>66733514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157517</v>
      </c>
      <c r="D22" s="22">
        <f>INDEX(Data[],MATCH($A22,Data[Dist],0),MATCH(D$4,Data[#Headers],0))</f>
        <v>508998</v>
      </c>
      <c r="E22" s="22">
        <f>INDEX(Data[],MATCH($A22,Data[Dist],0),MATCH(E$4,Data[#Headers],0))</f>
        <v>66742</v>
      </c>
      <c r="F22" s="22">
        <f>INDEX(Data[],MATCH($A22,Data[Dist],0),MATCH(F$4,Data[#Headers],0))</f>
        <v>56762</v>
      </c>
      <c r="G22" s="22">
        <f>INDEX(Data[],MATCH($A22,Data[Dist],0),MATCH(G$4,Data[#Headers],0))</f>
        <v>273874</v>
      </c>
      <c r="H22" s="22">
        <f>INDEX(Data[],MATCH($A22,Data[Dist],0),MATCH(H$4,Data[#Headers],0))</f>
        <v>3923238</v>
      </c>
      <c r="I22" s="22">
        <f>INDEX(Data[],MATCH($A22,Data[Dist],0),MATCH(I$4,Data[#Headers],0))</f>
        <v>4987131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46920</v>
      </c>
      <c r="D23" s="22">
        <f>INDEX(Data[],MATCH($A23,Data[Dist],0),MATCH(D$4,Data[#Headers],0))</f>
        <v>282946</v>
      </c>
      <c r="E23" s="22">
        <f>INDEX(Data[],MATCH($A23,Data[Dist],0),MATCH(E$4,Data[#Headers],0))</f>
        <v>34294</v>
      </c>
      <c r="F23" s="22">
        <f>INDEX(Data[],MATCH($A23,Data[Dist],0),MATCH(F$4,Data[#Headers],0))</f>
        <v>31831</v>
      </c>
      <c r="G23" s="22">
        <f>INDEX(Data[],MATCH($A23,Data[Dist],0),MATCH(G$4,Data[#Headers],0))</f>
        <v>136129</v>
      </c>
      <c r="H23" s="22">
        <f>INDEX(Data[],MATCH($A23,Data[Dist],0),MATCH(H$4,Data[#Headers],0))</f>
        <v>939706</v>
      </c>
      <c r="I23" s="22">
        <f>INDEX(Data[],MATCH($A23,Data[Dist],0),MATCH(I$4,Data[#Headers],0))</f>
        <v>1471826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40217</v>
      </c>
      <c r="D24" s="22">
        <f>INDEX(Data[],MATCH($A24,Data[Dist],0),MATCH(D$4,Data[#Headers],0))</f>
        <v>172418</v>
      </c>
      <c r="E24" s="22">
        <f>INDEX(Data[],MATCH($A24,Data[Dist],0),MATCH(E$4,Data[#Headers],0))</f>
        <v>17269</v>
      </c>
      <c r="F24" s="22">
        <f>INDEX(Data[],MATCH($A24,Data[Dist],0),MATCH(F$4,Data[#Headers],0))</f>
        <v>16888</v>
      </c>
      <c r="G24" s="22">
        <f>INDEX(Data[],MATCH($A24,Data[Dist],0),MATCH(G$4,Data[#Headers],0))</f>
        <v>92455</v>
      </c>
      <c r="H24" s="22">
        <f>INDEX(Data[],MATCH($A24,Data[Dist],0),MATCH(H$4,Data[#Headers],0))</f>
        <v>677080</v>
      </c>
      <c r="I24" s="22">
        <f>INDEX(Data[],MATCH($A24,Data[Dist],0),MATCH(I$4,Data[#Headers],0))</f>
        <v>1016327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325087</v>
      </c>
      <c r="D25" s="22">
        <f>INDEX(Data[],MATCH($A25,Data[Dist],0),MATCH(D$4,Data[#Headers],0))</f>
        <v>817056</v>
      </c>
      <c r="E25" s="22">
        <f>INDEX(Data[],MATCH($A25,Data[Dist],0),MATCH(E$4,Data[#Headers],0))</f>
        <v>107356</v>
      </c>
      <c r="F25" s="22">
        <f>INDEX(Data[],MATCH($A25,Data[Dist],0),MATCH(F$4,Data[#Headers],0))</f>
        <v>95807</v>
      </c>
      <c r="G25" s="22">
        <f>INDEX(Data[],MATCH($A25,Data[Dist],0),MATCH(G$4,Data[#Headers],0))</f>
        <v>447632</v>
      </c>
      <c r="H25" s="22">
        <f>INDEX(Data[],MATCH($A25,Data[Dist],0),MATCH(H$4,Data[#Headers],0))</f>
        <v>6724225</v>
      </c>
      <c r="I25" s="22">
        <f>INDEX(Data[],MATCH($A25,Data[Dist],0),MATCH(I$4,Data[#Headers],0))</f>
        <v>8517163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127354</v>
      </c>
      <c r="D26" s="22">
        <f>INDEX(Data[],MATCH($A26,Data[Dist],0),MATCH(D$4,Data[#Headers],0))</f>
        <v>301752</v>
      </c>
      <c r="E26" s="22">
        <f>INDEX(Data[],MATCH($A26,Data[Dist],0),MATCH(E$4,Data[#Headers],0))</f>
        <v>30770</v>
      </c>
      <c r="F26" s="22">
        <f>INDEX(Data[],MATCH($A26,Data[Dist],0),MATCH(F$4,Data[#Headers],0))</f>
        <v>34416</v>
      </c>
      <c r="G26" s="22">
        <f>INDEX(Data[],MATCH($A26,Data[Dist],0),MATCH(G$4,Data[#Headers],0))</f>
        <v>162346</v>
      </c>
      <c r="H26" s="22">
        <f>INDEX(Data[],MATCH($A26,Data[Dist],0),MATCH(H$4,Data[#Headers],0))</f>
        <v>2032125</v>
      </c>
      <c r="I26" s="22">
        <f>INDEX(Data[],MATCH($A26,Data[Dist],0),MATCH(I$4,Data[#Headers],0))</f>
        <v>2688763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100542</v>
      </c>
      <c r="D27" s="22">
        <f>INDEX(Data[],MATCH($A27,Data[Dist],0),MATCH(D$4,Data[#Headers],0))</f>
        <v>430835</v>
      </c>
      <c r="E27" s="22">
        <f>INDEX(Data[],MATCH($A27,Data[Dist],0),MATCH(E$4,Data[#Headers],0))</f>
        <v>48120</v>
      </c>
      <c r="F27" s="22">
        <f>INDEX(Data[],MATCH($A27,Data[Dist],0),MATCH(F$4,Data[#Headers],0))</f>
        <v>43219</v>
      </c>
      <c r="G27" s="22">
        <f>INDEX(Data[],MATCH($A27,Data[Dist],0),MATCH(G$4,Data[#Headers],0))</f>
        <v>258490</v>
      </c>
      <c r="H27" s="22">
        <f>INDEX(Data[],MATCH($A27,Data[Dist],0),MATCH(H$4,Data[#Headers],0))</f>
        <v>3158783</v>
      </c>
      <c r="I27" s="22">
        <f>INDEX(Data[],MATCH($A27,Data[Dist],0),MATCH(I$4,Data[#Headers],0))</f>
        <v>4039989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475901</v>
      </c>
      <c r="D28" s="22">
        <f>INDEX(Data[],MATCH($A28,Data[Dist],0),MATCH(D$4,Data[#Headers],0))</f>
        <v>867163</v>
      </c>
      <c r="E28" s="22">
        <f>INDEX(Data[],MATCH($A28,Data[Dist],0),MATCH(E$4,Data[#Headers],0))</f>
        <v>109150</v>
      </c>
      <c r="F28" s="22">
        <f>INDEX(Data[],MATCH($A28,Data[Dist],0),MATCH(F$4,Data[#Headers],0))</f>
        <v>92489</v>
      </c>
      <c r="G28" s="22">
        <f>INDEX(Data[],MATCH($A28,Data[Dist],0),MATCH(G$4,Data[#Headers],0))</f>
        <v>528669</v>
      </c>
      <c r="H28" s="22">
        <f>INDEX(Data[],MATCH($A28,Data[Dist],0),MATCH(H$4,Data[#Headers],0))</f>
        <v>9190526</v>
      </c>
      <c r="I28" s="22">
        <f>INDEX(Data[],MATCH($A28,Data[Dist],0),MATCH(I$4,Data[#Headers],0))</f>
        <v>11263898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113948</v>
      </c>
      <c r="D29" s="22">
        <f>INDEX(Data[],MATCH($A29,Data[Dist],0),MATCH(D$4,Data[#Headers],0))</f>
        <v>201604</v>
      </c>
      <c r="E29" s="22">
        <f>INDEX(Data[],MATCH($A29,Data[Dist],0),MATCH(E$4,Data[#Headers],0))</f>
        <v>21625</v>
      </c>
      <c r="F29" s="22">
        <f>INDEX(Data[],MATCH($A29,Data[Dist],0),MATCH(F$4,Data[#Headers],0))</f>
        <v>20172</v>
      </c>
      <c r="G29" s="22">
        <f>INDEX(Data[],MATCH($A29,Data[Dist],0),MATCH(G$4,Data[#Headers],0))</f>
        <v>106291</v>
      </c>
      <c r="H29" s="22">
        <f>INDEX(Data[],MATCH($A29,Data[Dist],0),MATCH(H$4,Data[#Headers],0))</f>
        <v>1511115</v>
      </c>
      <c r="I29" s="22">
        <f>INDEX(Data[],MATCH($A29,Data[Dist],0),MATCH(I$4,Data[#Headers],0))</f>
        <v>1974755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77083</v>
      </c>
      <c r="D30" s="22">
        <f>INDEX(Data[],MATCH($A30,Data[Dist],0),MATCH(D$4,Data[#Headers],0))</f>
        <v>323937</v>
      </c>
      <c r="E30" s="22">
        <f>INDEX(Data[],MATCH($A30,Data[Dist],0),MATCH(E$4,Data[#Headers],0))</f>
        <v>34224</v>
      </c>
      <c r="F30" s="22">
        <f>INDEX(Data[],MATCH($A30,Data[Dist],0),MATCH(F$4,Data[#Headers],0))</f>
        <v>35951</v>
      </c>
      <c r="G30" s="22">
        <f>INDEX(Data[],MATCH($A30,Data[Dist],0),MATCH(G$4,Data[#Headers],0))</f>
        <v>179544</v>
      </c>
      <c r="H30" s="22">
        <f>INDEX(Data[],MATCH($A30,Data[Dist],0),MATCH(H$4,Data[#Headers],0))</f>
        <v>2248444</v>
      </c>
      <c r="I30" s="22">
        <f>INDEX(Data[],MATCH($A30,Data[Dist],0),MATCH(I$4,Data[#Headers],0))</f>
        <v>2899183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124002</v>
      </c>
      <c r="D31" s="22">
        <f>INDEX(Data[],MATCH($A31,Data[Dist],0),MATCH(D$4,Data[#Headers],0))</f>
        <v>279890</v>
      </c>
      <c r="E31" s="22">
        <f>INDEX(Data[],MATCH($A31,Data[Dist],0),MATCH(E$4,Data[#Headers],0))</f>
        <v>32592</v>
      </c>
      <c r="F31" s="22">
        <f>INDEX(Data[],MATCH($A31,Data[Dist],0),MATCH(F$4,Data[#Headers],0))</f>
        <v>29648</v>
      </c>
      <c r="G31" s="22">
        <f>INDEX(Data[],MATCH($A31,Data[Dist],0),MATCH(G$4,Data[#Headers],0))</f>
        <v>146958</v>
      </c>
      <c r="H31" s="22">
        <f>INDEX(Data[],MATCH($A31,Data[Dist],0),MATCH(H$4,Data[#Headers],0))</f>
        <v>1848635</v>
      </c>
      <c r="I31" s="22">
        <f>INDEX(Data[],MATCH($A31,Data[Dist],0),MATCH(I$4,Data[#Headers],0))</f>
        <v>2461725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73731</v>
      </c>
      <c r="D32" s="22">
        <f>INDEX(Data[],MATCH($A32,Data[Dist],0),MATCH(D$4,Data[#Headers],0))</f>
        <v>304255</v>
      </c>
      <c r="E32" s="22">
        <f>INDEX(Data[],MATCH($A32,Data[Dist],0),MATCH(E$4,Data[#Headers],0))</f>
        <v>30631</v>
      </c>
      <c r="F32" s="22">
        <f>INDEX(Data[],MATCH($A32,Data[Dist],0),MATCH(F$4,Data[#Headers],0))</f>
        <v>30215</v>
      </c>
      <c r="G32" s="22">
        <f>INDEX(Data[],MATCH($A32,Data[Dist],0),MATCH(G$4,Data[#Headers],0))</f>
        <v>173959</v>
      </c>
      <c r="H32" s="22">
        <f>INDEX(Data[],MATCH($A32,Data[Dist],0),MATCH(H$4,Data[#Headers],0))</f>
        <v>2613729</v>
      </c>
      <c r="I32" s="22">
        <f>INDEX(Data[],MATCH($A32,Data[Dist],0),MATCH(I$4,Data[#Headers],0))</f>
        <v>3226520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174274</v>
      </c>
      <c r="D33" s="22">
        <f>INDEX(Data[],MATCH($A33,Data[Dist],0),MATCH(D$4,Data[#Headers],0))</f>
        <v>349650</v>
      </c>
      <c r="E33" s="22">
        <f>INDEX(Data[],MATCH($A33,Data[Dist],0),MATCH(E$4,Data[#Headers],0))</f>
        <v>35488</v>
      </c>
      <c r="F33" s="22">
        <f>INDEX(Data[],MATCH($A33,Data[Dist],0),MATCH(F$4,Data[#Headers],0))</f>
        <v>38528</v>
      </c>
      <c r="G33" s="22">
        <f>INDEX(Data[],MATCH($A33,Data[Dist],0),MATCH(G$4,Data[#Headers],0))</f>
        <v>189762</v>
      </c>
      <c r="H33" s="22">
        <f>INDEX(Data[],MATCH($A33,Data[Dist],0),MATCH(H$4,Data[#Headers],0))</f>
        <v>2315768</v>
      </c>
      <c r="I33" s="22">
        <f>INDEX(Data[],MATCH($A33,Data[Dist],0),MATCH(I$4,Data[#Headers],0))</f>
        <v>3103470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113948</v>
      </c>
      <c r="D34" s="22">
        <f>INDEX(Data[],MATCH($A34,Data[Dist],0),MATCH(D$4,Data[#Headers],0))</f>
        <v>460997</v>
      </c>
      <c r="E34" s="22">
        <f>INDEX(Data[],MATCH($A34,Data[Dist],0),MATCH(E$4,Data[#Headers],0))</f>
        <v>57455</v>
      </c>
      <c r="F34" s="22">
        <f>INDEX(Data[],MATCH($A34,Data[Dist],0),MATCH(F$4,Data[#Headers],0))</f>
        <v>49089</v>
      </c>
      <c r="G34" s="22">
        <f>INDEX(Data[],MATCH($A34,Data[Dist],0),MATCH(G$4,Data[#Headers],0))</f>
        <v>262560</v>
      </c>
      <c r="H34" s="22">
        <f>INDEX(Data[],MATCH($A34,Data[Dist],0),MATCH(H$4,Data[#Headers],0))</f>
        <v>3722496</v>
      </c>
      <c r="I34" s="22">
        <f>INDEX(Data[],MATCH($A34,Data[Dist],0),MATCH(I$4,Data[#Headers],0))</f>
        <v>4666545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30163</v>
      </c>
      <c r="D35" s="22">
        <f>INDEX(Data[],MATCH($A35,Data[Dist],0),MATCH(D$4,Data[#Headers],0))</f>
        <v>101717</v>
      </c>
      <c r="E35" s="22">
        <f>INDEX(Data[],MATCH($A35,Data[Dist],0),MATCH(E$4,Data[#Headers],0))</f>
        <v>12364</v>
      </c>
      <c r="F35" s="22">
        <f>INDEX(Data[],MATCH($A35,Data[Dist],0),MATCH(F$4,Data[#Headers],0))</f>
        <v>7417</v>
      </c>
      <c r="G35" s="22">
        <f>INDEX(Data[],MATCH($A35,Data[Dist],0),MATCH(G$4,Data[#Headers],0))</f>
        <v>61088</v>
      </c>
      <c r="H35" s="22">
        <f>INDEX(Data[],MATCH($A35,Data[Dist],0),MATCH(H$4,Data[#Headers],0))</f>
        <v>712372</v>
      </c>
      <c r="I35" s="22">
        <f>INDEX(Data[],MATCH($A35,Data[Dist],0),MATCH(I$4,Data[#Headers],0))</f>
        <v>925121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315033</v>
      </c>
      <c r="D36" s="22">
        <f>INDEX(Data[],MATCH($A36,Data[Dist],0),MATCH(D$4,Data[#Headers],0))</f>
        <v>857998</v>
      </c>
      <c r="E36" s="22">
        <f>INDEX(Data[],MATCH($A36,Data[Dist],0),MATCH(E$4,Data[#Headers],0))</f>
        <v>88116</v>
      </c>
      <c r="F36" s="22">
        <f>INDEX(Data[],MATCH($A36,Data[Dist],0),MATCH(F$4,Data[#Headers],0))</f>
        <v>94342</v>
      </c>
      <c r="G36" s="22">
        <f>INDEX(Data[],MATCH($A36,Data[Dist],0),MATCH(G$4,Data[#Headers],0))</f>
        <v>489689</v>
      </c>
      <c r="H36" s="22">
        <f>INDEX(Data[],MATCH($A36,Data[Dist],0),MATCH(H$4,Data[#Headers],0))</f>
        <v>6106281</v>
      </c>
      <c r="I36" s="22">
        <f>INDEX(Data[],MATCH($A36,Data[Dist],0),MATCH(I$4,Data[#Headers],0))</f>
        <v>7951459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914936</v>
      </c>
      <c r="D37" s="22">
        <f>INDEX(Data[],MATCH($A37,Data[Dist],0),MATCH(D$4,Data[#Headers],0))</f>
        <v>2313589</v>
      </c>
      <c r="E37" s="22">
        <f>INDEX(Data[],MATCH($A37,Data[Dist],0),MATCH(E$4,Data[#Headers],0))</f>
        <v>265926</v>
      </c>
      <c r="F37" s="22">
        <f>INDEX(Data[],MATCH($A37,Data[Dist],0),MATCH(F$4,Data[#Headers],0))</f>
        <v>264819</v>
      </c>
      <c r="G37" s="22">
        <f>INDEX(Data[],MATCH($A37,Data[Dist],0),MATCH(G$4,Data[#Headers],0))</f>
        <v>1338650</v>
      </c>
      <c r="H37" s="22">
        <f>INDEX(Data[],MATCH($A37,Data[Dist],0),MATCH(H$4,Data[#Headers],0))</f>
        <v>18575124</v>
      </c>
      <c r="I37" s="22">
        <f>INDEX(Data[],MATCH($A37,Data[Dist],0),MATCH(I$4,Data[#Headers],0))</f>
        <v>23673044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224545</v>
      </c>
      <c r="D38" s="22">
        <f>INDEX(Data[],MATCH($A38,Data[Dist],0),MATCH(D$4,Data[#Headers],0))</f>
        <v>521914</v>
      </c>
      <c r="E38" s="22">
        <f>INDEX(Data[],MATCH($A38,Data[Dist],0),MATCH(E$4,Data[#Headers],0))</f>
        <v>67342</v>
      </c>
      <c r="F38" s="22">
        <f>INDEX(Data[],MATCH($A38,Data[Dist],0),MATCH(F$4,Data[#Headers],0))</f>
        <v>55174</v>
      </c>
      <c r="G38" s="22">
        <f>INDEX(Data[],MATCH($A38,Data[Dist],0),MATCH(G$4,Data[#Headers],0))</f>
        <v>286708</v>
      </c>
      <c r="H38" s="22">
        <f>INDEX(Data[],MATCH($A38,Data[Dist],0),MATCH(H$4,Data[#Headers],0))</f>
        <v>3165795</v>
      </c>
      <c r="I38" s="22">
        <f>INDEX(Data[],MATCH($A38,Data[Dist],0),MATCH(I$4,Data[#Headers],0))</f>
        <v>4321478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244653</v>
      </c>
      <c r="D39" s="22">
        <f>INDEX(Data[],MATCH($A39,Data[Dist],0),MATCH(D$4,Data[#Headers],0))</f>
        <v>1097273</v>
      </c>
      <c r="E39" s="22">
        <f>INDEX(Data[],MATCH($A39,Data[Dist],0),MATCH(E$4,Data[#Headers],0))</f>
        <v>133091</v>
      </c>
      <c r="F39" s="22">
        <f>INDEX(Data[],MATCH($A39,Data[Dist],0),MATCH(F$4,Data[#Headers],0))</f>
        <v>113595</v>
      </c>
      <c r="G39" s="22">
        <f>INDEX(Data[],MATCH($A39,Data[Dist],0),MATCH(G$4,Data[#Headers],0))</f>
        <v>649539</v>
      </c>
      <c r="H39" s="22">
        <f>INDEX(Data[],MATCH($A39,Data[Dist],0),MATCH(H$4,Data[#Headers],0))</f>
        <v>11337871</v>
      </c>
      <c r="I39" s="22">
        <f>INDEX(Data[],MATCH($A39,Data[Dist],0),MATCH(I$4,Data[#Headers],0))</f>
        <v>13576022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388764</v>
      </c>
      <c r="D40" s="22">
        <f>INDEX(Data[],MATCH($A40,Data[Dist],0),MATCH(D$4,Data[#Headers],0))</f>
        <v>1209781</v>
      </c>
      <c r="E40" s="22">
        <f>INDEX(Data[],MATCH($A40,Data[Dist],0),MATCH(E$4,Data[#Headers],0))</f>
        <v>138379</v>
      </c>
      <c r="F40" s="22">
        <f>INDEX(Data[],MATCH($A40,Data[Dist],0),MATCH(F$4,Data[#Headers],0))</f>
        <v>150802</v>
      </c>
      <c r="G40" s="22">
        <f>INDEX(Data[],MATCH($A40,Data[Dist],0),MATCH(G$4,Data[#Headers],0))</f>
        <v>670435</v>
      </c>
      <c r="H40" s="22">
        <f>INDEX(Data[],MATCH($A40,Data[Dist],0),MATCH(H$4,Data[#Headers],0))</f>
        <v>11425731</v>
      </c>
      <c r="I40" s="22">
        <f>INDEX(Data[],MATCH($A40,Data[Dist],0),MATCH(I$4,Data[#Headers],0))</f>
        <v>13983892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184328</v>
      </c>
      <c r="D41" s="22">
        <f>INDEX(Data[],MATCH($A41,Data[Dist],0),MATCH(D$4,Data[#Headers],0))</f>
        <v>343278</v>
      </c>
      <c r="E41" s="22">
        <f>INDEX(Data[],MATCH($A41,Data[Dist],0),MATCH(E$4,Data[#Headers],0))</f>
        <v>45925</v>
      </c>
      <c r="F41" s="22">
        <f>INDEX(Data[],MATCH($A41,Data[Dist],0),MATCH(F$4,Data[#Headers],0))</f>
        <v>37635</v>
      </c>
      <c r="G41" s="22">
        <f>INDEX(Data[],MATCH($A41,Data[Dist],0),MATCH(G$4,Data[#Headers],0))</f>
        <v>195190</v>
      </c>
      <c r="H41" s="22">
        <f>INDEX(Data[],MATCH($A41,Data[Dist],0),MATCH(H$4,Data[#Headers],0))</f>
        <v>2598919</v>
      </c>
      <c r="I41" s="22">
        <f>INDEX(Data[],MATCH($A41,Data[Dist],0),MATCH(I$4,Data[#Headers],0))</f>
        <v>3405275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117300</v>
      </c>
      <c r="D42" s="22">
        <f>INDEX(Data[],MATCH($A42,Data[Dist],0),MATCH(D$4,Data[#Headers],0))</f>
        <v>327227</v>
      </c>
      <c r="E42" s="22">
        <f>INDEX(Data[],MATCH($A42,Data[Dist],0),MATCH(E$4,Data[#Headers],0))</f>
        <v>37632</v>
      </c>
      <c r="F42" s="22">
        <f>INDEX(Data[],MATCH($A42,Data[Dist],0),MATCH(F$4,Data[#Headers],0))</f>
        <v>33549</v>
      </c>
      <c r="G42" s="22">
        <f>INDEX(Data[],MATCH($A42,Data[Dist],0),MATCH(G$4,Data[#Headers],0))</f>
        <v>182551</v>
      </c>
      <c r="H42" s="22">
        <f>INDEX(Data[],MATCH($A42,Data[Dist],0),MATCH(H$4,Data[#Headers],0))</f>
        <v>1930195</v>
      </c>
      <c r="I42" s="22">
        <f>INDEX(Data[],MATCH($A42,Data[Dist],0),MATCH(I$4,Data[#Headers],0))</f>
        <v>2628454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110597</v>
      </c>
      <c r="D43" s="22">
        <f>INDEX(Data[],MATCH($A43,Data[Dist],0),MATCH(D$4,Data[#Headers],0))</f>
        <v>343114</v>
      </c>
      <c r="E43" s="22">
        <f>INDEX(Data[],MATCH($A43,Data[Dist],0),MATCH(E$4,Data[#Headers],0))</f>
        <v>36883</v>
      </c>
      <c r="F43" s="22">
        <f>INDEX(Data[],MATCH($A43,Data[Dist],0),MATCH(F$4,Data[#Headers],0))</f>
        <v>34569</v>
      </c>
      <c r="G43" s="22">
        <f>INDEX(Data[],MATCH($A43,Data[Dist],0),MATCH(G$4,Data[#Headers],0))</f>
        <v>183852</v>
      </c>
      <c r="H43" s="22">
        <f>INDEX(Data[],MATCH($A43,Data[Dist],0),MATCH(H$4,Data[#Headers],0))</f>
        <v>2601717</v>
      </c>
      <c r="I43" s="22">
        <f>INDEX(Data[],MATCH($A43,Data[Dist],0),MATCH(I$4,Data[#Headers],0))</f>
        <v>3310732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117300</v>
      </c>
      <c r="D44" s="22">
        <f>INDEX(Data[],MATCH($A44,Data[Dist],0),MATCH(D$4,Data[#Headers],0))</f>
        <v>291475</v>
      </c>
      <c r="E44" s="22">
        <f>INDEX(Data[],MATCH($A44,Data[Dist],0),MATCH(E$4,Data[#Headers],0))</f>
        <v>30029</v>
      </c>
      <c r="F44" s="22">
        <f>INDEX(Data[],MATCH($A44,Data[Dist],0),MATCH(F$4,Data[#Headers],0))</f>
        <v>31749</v>
      </c>
      <c r="G44" s="22">
        <f>INDEX(Data[],MATCH($A44,Data[Dist],0),MATCH(G$4,Data[#Headers],0))</f>
        <v>154038</v>
      </c>
      <c r="H44" s="22">
        <f>INDEX(Data[],MATCH($A44,Data[Dist],0),MATCH(H$4,Data[#Headers],0))</f>
        <v>1439294</v>
      </c>
      <c r="I44" s="22">
        <f>INDEX(Data[],MATCH($A44,Data[Dist],0),MATCH(I$4,Data[#Headers],0))</f>
        <v>2063885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616660</v>
      </c>
      <c r="D45" s="22">
        <f>INDEX(Data[],MATCH($A45,Data[Dist],0),MATCH(D$4,Data[#Headers],0))</f>
        <v>2496393</v>
      </c>
      <c r="E45" s="22">
        <f>INDEX(Data[],MATCH($A45,Data[Dist],0),MATCH(E$4,Data[#Headers],0))</f>
        <v>342450</v>
      </c>
      <c r="F45" s="22">
        <f>INDEX(Data[],MATCH($A45,Data[Dist],0),MATCH(F$4,Data[#Headers],0))</f>
        <v>274340</v>
      </c>
      <c r="G45" s="22">
        <f>INDEX(Data[],MATCH($A45,Data[Dist],0),MATCH(G$4,Data[#Headers],0))</f>
        <v>1429726</v>
      </c>
      <c r="H45" s="22">
        <f>INDEX(Data[],MATCH($A45,Data[Dist],0),MATCH(H$4,Data[#Headers],0))</f>
        <v>24060342</v>
      </c>
      <c r="I45" s="22">
        <f>INDEX(Data[],MATCH($A45,Data[Dist],0),MATCH(I$4,Data[#Headers],0))</f>
        <v>29219911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107245</v>
      </c>
      <c r="D46" s="22">
        <f>INDEX(Data[],MATCH($A46,Data[Dist],0),MATCH(D$4,Data[#Headers],0))</f>
        <v>312654</v>
      </c>
      <c r="E46" s="22">
        <f>INDEX(Data[],MATCH($A46,Data[Dist],0),MATCH(E$4,Data[#Headers],0))</f>
        <v>32234</v>
      </c>
      <c r="F46" s="22">
        <f>INDEX(Data[],MATCH($A46,Data[Dist],0),MATCH(F$4,Data[#Headers],0))</f>
        <v>31503</v>
      </c>
      <c r="G46" s="22">
        <f>INDEX(Data[],MATCH($A46,Data[Dist],0),MATCH(G$4,Data[#Headers],0))</f>
        <v>162238</v>
      </c>
      <c r="H46" s="22">
        <f>INDEX(Data[],MATCH($A46,Data[Dist],0),MATCH(H$4,Data[#Headers],0))</f>
        <v>1112236</v>
      </c>
      <c r="I46" s="22">
        <f>INDEX(Data[],MATCH($A46,Data[Dist],0),MATCH(I$4,Data[#Headers],0))</f>
        <v>1758110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56974</v>
      </c>
      <c r="D47" s="22">
        <f>INDEX(Data[],MATCH($A47,Data[Dist],0),MATCH(D$4,Data[#Headers],0))</f>
        <v>169837</v>
      </c>
      <c r="E47" s="22">
        <f>INDEX(Data[],MATCH($A47,Data[Dist],0),MATCH(E$4,Data[#Headers],0))</f>
        <v>19151</v>
      </c>
      <c r="F47" s="22">
        <f>INDEX(Data[],MATCH($A47,Data[Dist],0),MATCH(F$4,Data[#Headers],0))</f>
        <v>18705</v>
      </c>
      <c r="G47" s="22">
        <f>INDEX(Data[],MATCH($A47,Data[Dist],0),MATCH(G$4,Data[#Headers],0))</f>
        <v>84438</v>
      </c>
      <c r="H47" s="22">
        <f>INDEX(Data[],MATCH($A47,Data[Dist],0),MATCH(H$4,Data[#Headers],0))</f>
        <v>1219028</v>
      </c>
      <c r="I47" s="22">
        <f>INDEX(Data[],MATCH($A47,Data[Dist],0),MATCH(I$4,Data[#Headers],0))</f>
        <v>1568133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97191</v>
      </c>
      <c r="D48" s="22">
        <f>INDEX(Data[],MATCH($A48,Data[Dist],0),MATCH(D$4,Data[#Headers],0))</f>
        <v>285086</v>
      </c>
      <c r="E48" s="22">
        <f>INDEX(Data[],MATCH($A48,Data[Dist],0),MATCH(E$4,Data[#Headers],0))</f>
        <v>32737</v>
      </c>
      <c r="F48" s="22">
        <f>INDEX(Data[],MATCH($A48,Data[Dist],0),MATCH(F$4,Data[#Headers],0))</f>
        <v>31162</v>
      </c>
      <c r="G48" s="22">
        <f>INDEX(Data[],MATCH($A48,Data[Dist],0),MATCH(G$4,Data[#Headers],0))</f>
        <v>145051</v>
      </c>
      <c r="H48" s="22">
        <f>INDEX(Data[],MATCH($A48,Data[Dist],0),MATCH(H$4,Data[#Headers],0))</f>
        <v>1921305</v>
      </c>
      <c r="I48" s="22">
        <f>INDEX(Data[],MATCH($A48,Data[Dist],0),MATCH(I$4,Data[#Headers],0))</f>
        <v>2512532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170922</v>
      </c>
      <c r="D49" s="22">
        <f>INDEX(Data[],MATCH($A49,Data[Dist],0),MATCH(D$4,Data[#Headers],0))</f>
        <v>505275</v>
      </c>
      <c r="E49" s="22">
        <f>INDEX(Data[],MATCH($A49,Data[Dist],0),MATCH(E$4,Data[#Headers],0))</f>
        <v>62971</v>
      </c>
      <c r="F49" s="22">
        <f>INDEX(Data[],MATCH($A49,Data[Dist],0),MATCH(F$4,Data[#Headers],0))</f>
        <v>52929</v>
      </c>
      <c r="G49" s="22">
        <f>INDEX(Data[],MATCH($A49,Data[Dist],0),MATCH(G$4,Data[#Headers],0))</f>
        <v>278400</v>
      </c>
      <c r="H49" s="22">
        <f>INDEX(Data[],MATCH($A49,Data[Dist],0),MATCH(H$4,Data[#Headers],0))</f>
        <v>3737532</v>
      </c>
      <c r="I49" s="22">
        <f>INDEX(Data[],MATCH($A49,Data[Dist],0),MATCH(I$4,Data[#Headers],0))</f>
        <v>4808029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258059</v>
      </c>
      <c r="D50" s="22">
        <f>INDEX(Data[],MATCH($A50,Data[Dist],0),MATCH(D$4,Data[#Headers],0))</f>
        <v>349429</v>
      </c>
      <c r="E50" s="22">
        <f>INDEX(Data[],MATCH($A50,Data[Dist],0),MATCH(E$4,Data[#Headers],0))</f>
        <v>43441</v>
      </c>
      <c r="F50" s="22">
        <f>INDEX(Data[],MATCH($A50,Data[Dist],0),MATCH(F$4,Data[#Headers],0))</f>
        <v>32563</v>
      </c>
      <c r="G50" s="22">
        <f>INDEX(Data[],MATCH($A50,Data[Dist],0),MATCH(G$4,Data[#Headers],0))</f>
        <v>187313</v>
      </c>
      <c r="H50" s="22">
        <f>INDEX(Data[],MATCH($A50,Data[Dist],0),MATCH(H$4,Data[#Headers],0))</f>
        <v>3034512</v>
      </c>
      <c r="I50" s="22">
        <f>INDEX(Data[],MATCH($A50,Data[Dist],0),MATCH(I$4,Data[#Headers],0))</f>
        <v>3905317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348547</v>
      </c>
      <c r="D51" s="22">
        <f>INDEX(Data[],MATCH($A51,Data[Dist],0),MATCH(D$4,Data[#Headers],0))</f>
        <v>1093526</v>
      </c>
      <c r="E51" s="22">
        <f>INDEX(Data[],MATCH($A51,Data[Dist],0),MATCH(E$4,Data[#Headers],0))</f>
        <v>133318</v>
      </c>
      <c r="F51" s="22">
        <f>INDEX(Data[],MATCH($A51,Data[Dist],0),MATCH(F$4,Data[#Headers],0))</f>
        <v>111685</v>
      </c>
      <c r="G51" s="22">
        <f>INDEX(Data[],MATCH($A51,Data[Dist],0),MATCH(G$4,Data[#Headers],0))</f>
        <v>634618</v>
      </c>
      <c r="H51" s="22">
        <f>INDEX(Data[],MATCH($A51,Data[Dist],0),MATCH(H$4,Data[#Headers],0))</f>
        <v>11355761</v>
      </c>
      <c r="I51" s="22">
        <f>INDEX(Data[],MATCH($A51,Data[Dist],0),MATCH(I$4,Data[#Headers],0))</f>
        <v>13677455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626715</v>
      </c>
      <c r="D52" s="22">
        <f>INDEX(Data[],MATCH($A52,Data[Dist],0),MATCH(D$4,Data[#Headers],0))</f>
        <v>956171</v>
      </c>
      <c r="E52" s="22">
        <f>INDEX(Data[],MATCH($A52,Data[Dist],0),MATCH(E$4,Data[#Headers],0))</f>
        <v>110810</v>
      </c>
      <c r="F52" s="22">
        <f>INDEX(Data[],MATCH($A52,Data[Dist],0),MATCH(F$4,Data[#Headers],0))</f>
        <v>110010</v>
      </c>
      <c r="G52" s="22">
        <f>INDEX(Data[],MATCH($A52,Data[Dist],0),MATCH(G$4,Data[#Headers],0))</f>
        <v>555409</v>
      </c>
      <c r="H52" s="22">
        <f>INDEX(Data[],MATCH($A52,Data[Dist],0),MATCH(H$4,Data[#Headers],0))</f>
        <v>5883577</v>
      </c>
      <c r="I52" s="22">
        <f>INDEX(Data[],MATCH($A52,Data[Dist],0),MATCH(I$4,Data[#Headers],0))</f>
        <v>8242692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465847</v>
      </c>
      <c r="D53" s="22">
        <f>INDEX(Data[],MATCH($A53,Data[Dist],0),MATCH(D$4,Data[#Headers],0))</f>
        <v>2916266</v>
      </c>
      <c r="E53" s="22">
        <f>INDEX(Data[],MATCH($A53,Data[Dist],0),MATCH(E$4,Data[#Headers],0))</f>
        <v>345594</v>
      </c>
      <c r="F53" s="22">
        <f>INDEX(Data[],MATCH($A53,Data[Dist],0),MATCH(F$4,Data[#Headers],0))</f>
        <v>346260</v>
      </c>
      <c r="G53" s="22">
        <f>INDEX(Data[],MATCH($A53,Data[Dist],0),MATCH(G$4,Data[#Headers],0))</f>
        <v>1674129</v>
      </c>
      <c r="H53" s="22">
        <f>INDEX(Data[],MATCH($A53,Data[Dist],0),MATCH(H$4,Data[#Headers],0))</f>
        <v>23386490</v>
      </c>
      <c r="I53" s="22">
        <f>INDEX(Data[],MATCH($A53,Data[Dist],0),MATCH(I$4,Data[#Headers],0))</f>
        <v>29134586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2178420</v>
      </c>
      <c r="D54" s="22">
        <f>INDEX(Data[],MATCH($A54,Data[Dist],0),MATCH(D$4,Data[#Headers],0))</f>
        <v>9745943</v>
      </c>
      <c r="E54" s="22">
        <f>INDEX(Data[],MATCH($A54,Data[Dist],0),MATCH(E$4,Data[#Headers],0))</f>
        <v>1254729</v>
      </c>
      <c r="F54" s="22">
        <f>INDEX(Data[],MATCH($A54,Data[Dist],0),MATCH(F$4,Data[#Headers],0))</f>
        <v>1149725</v>
      </c>
      <c r="G54" s="22">
        <f>INDEX(Data[],MATCH($A54,Data[Dist],0),MATCH(G$4,Data[#Headers],0))</f>
        <v>5592749</v>
      </c>
      <c r="H54" s="22">
        <f>INDEX(Data[],MATCH($A54,Data[Dist],0),MATCH(H$4,Data[#Headers],0))</f>
        <v>84686258</v>
      </c>
      <c r="I54" s="22">
        <f>INDEX(Data[],MATCH($A54,Data[Dist],0),MATCH(I$4,Data[#Headers],0))</f>
        <v>104607824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284870</v>
      </c>
      <c r="D55" s="22">
        <f>INDEX(Data[],MATCH($A55,Data[Dist],0),MATCH(D$4,Data[#Headers],0))</f>
        <v>779344</v>
      </c>
      <c r="E55" s="22">
        <f>INDEX(Data[],MATCH($A55,Data[Dist],0),MATCH(E$4,Data[#Headers],0))</f>
        <v>89163</v>
      </c>
      <c r="F55" s="22">
        <f>INDEX(Data[],MATCH($A55,Data[Dist],0),MATCH(F$4,Data[#Headers],0))</f>
        <v>86464</v>
      </c>
      <c r="G55" s="22">
        <f>INDEX(Data[],MATCH($A55,Data[Dist],0),MATCH(G$4,Data[#Headers],0))</f>
        <v>442832</v>
      </c>
      <c r="H55" s="22">
        <f>INDEX(Data[],MATCH($A55,Data[Dist],0),MATCH(H$4,Data[#Headers],0))</f>
        <v>7489615</v>
      </c>
      <c r="I55" s="22">
        <f>INDEX(Data[],MATCH($A55,Data[Dist],0),MATCH(I$4,Data[#Headers],0))</f>
        <v>9172288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264762</v>
      </c>
      <c r="D56" s="22">
        <f>INDEX(Data[],MATCH($A56,Data[Dist],0),MATCH(D$4,Data[#Headers],0))</f>
        <v>798890</v>
      </c>
      <c r="E56" s="22">
        <f>INDEX(Data[],MATCH($A56,Data[Dist],0),MATCH(E$4,Data[#Headers],0))</f>
        <v>96830</v>
      </c>
      <c r="F56" s="22">
        <f>INDEX(Data[],MATCH($A56,Data[Dist],0),MATCH(F$4,Data[#Headers],0))</f>
        <v>91599</v>
      </c>
      <c r="G56" s="22">
        <f>INDEX(Data[],MATCH($A56,Data[Dist],0),MATCH(G$4,Data[#Headers],0))</f>
        <v>449395</v>
      </c>
      <c r="H56" s="22">
        <f>INDEX(Data[],MATCH($A56,Data[Dist],0),MATCH(H$4,Data[#Headers],0))</f>
        <v>8046481</v>
      </c>
      <c r="I56" s="22">
        <f>INDEX(Data[],MATCH($A56,Data[Dist],0),MATCH(I$4,Data[#Headers],0))</f>
        <v>9747957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157517</v>
      </c>
      <c r="D57" s="22">
        <f>INDEX(Data[],MATCH($A57,Data[Dist],0),MATCH(D$4,Data[#Headers],0))</f>
        <v>473542</v>
      </c>
      <c r="E57" s="22">
        <f>INDEX(Data[],MATCH($A57,Data[Dist],0),MATCH(E$4,Data[#Headers],0))</f>
        <v>51685</v>
      </c>
      <c r="F57" s="22">
        <f>INDEX(Data[],MATCH($A57,Data[Dist],0),MATCH(F$4,Data[#Headers],0))</f>
        <v>60842</v>
      </c>
      <c r="G57" s="22">
        <f>INDEX(Data[],MATCH($A57,Data[Dist],0),MATCH(G$4,Data[#Headers],0))</f>
        <v>254543</v>
      </c>
      <c r="H57" s="22">
        <f>INDEX(Data[],MATCH($A57,Data[Dist],0),MATCH(H$4,Data[#Headers],0))</f>
        <v>3510523</v>
      </c>
      <c r="I57" s="22">
        <f>INDEX(Data[],MATCH($A57,Data[Dist],0),MATCH(I$4,Data[#Headers],0))</f>
        <v>4508652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110597</v>
      </c>
      <c r="D58" s="22">
        <f>INDEX(Data[],MATCH($A58,Data[Dist],0),MATCH(D$4,Data[#Headers],0))</f>
        <v>255634</v>
      </c>
      <c r="E58" s="22">
        <f>INDEX(Data[],MATCH($A58,Data[Dist],0),MATCH(E$4,Data[#Headers],0))</f>
        <v>26072</v>
      </c>
      <c r="F58" s="22">
        <f>INDEX(Data[],MATCH($A58,Data[Dist],0),MATCH(F$4,Data[#Headers],0))</f>
        <v>26440</v>
      </c>
      <c r="G58" s="22">
        <f>INDEX(Data[],MATCH($A58,Data[Dist],0),MATCH(G$4,Data[#Headers],0))</f>
        <v>140073</v>
      </c>
      <c r="H58" s="22">
        <f>INDEX(Data[],MATCH($A58,Data[Dist],0),MATCH(H$4,Data[#Headers],0))</f>
        <v>1789721</v>
      </c>
      <c r="I58" s="22">
        <f>INDEX(Data[],MATCH($A58,Data[Dist],0),MATCH(I$4,Data[#Headers],0))</f>
        <v>2348537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378710</v>
      </c>
      <c r="D59" s="22">
        <f>INDEX(Data[],MATCH($A59,Data[Dist],0),MATCH(D$4,Data[#Headers],0))</f>
        <v>870014</v>
      </c>
      <c r="E59" s="22">
        <f>INDEX(Data[],MATCH($A59,Data[Dist],0),MATCH(E$4,Data[#Headers],0))</f>
        <v>89064</v>
      </c>
      <c r="F59" s="22">
        <f>INDEX(Data[],MATCH($A59,Data[Dist],0),MATCH(F$4,Data[#Headers],0))</f>
        <v>94242</v>
      </c>
      <c r="G59" s="22">
        <f>INDEX(Data[],MATCH($A59,Data[Dist],0),MATCH(G$4,Data[#Headers],0))</f>
        <v>477572</v>
      </c>
      <c r="H59" s="22">
        <f>INDEX(Data[],MATCH($A59,Data[Dist],0),MATCH(H$4,Data[#Headers],0))</f>
        <v>6762065</v>
      </c>
      <c r="I59" s="22">
        <f>INDEX(Data[],MATCH($A59,Data[Dist],0),MATCH(I$4,Data[#Headers],0))</f>
        <v>8671667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87156</v>
      </c>
      <c r="D60" s="22">
        <f>INDEX(Data[],MATCH($A60,Data[Dist],0),MATCH(D$4,Data[#Headers],0))</f>
        <v>296377</v>
      </c>
      <c r="E60" s="22">
        <f>INDEX(Data[],MATCH($A60,Data[Dist],0),MATCH(E$4,Data[#Headers],0))</f>
        <v>33114</v>
      </c>
      <c r="F60" s="22">
        <f>INDEX(Data[],MATCH($A60,Data[Dist],0),MATCH(F$4,Data[#Headers],0))</f>
        <v>29006</v>
      </c>
      <c r="G60" s="22">
        <f>INDEX(Data[],MATCH($A60,Data[Dist],0),MATCH(G$4,Data[#Headers],0))</f>
        <v>154782</v>
      </c>
      <c r="H60" s="22">
        <f>INDEX(Data[],MATCH($A60,Data[Dist],0),MATCH(H$4,Data[#Headers],0))</f>
        <v>2471791</v>
      </c>
      <c r="I60" s="22">
        <f>INDEX(Data[],MATCH($A60,Data[Dist],0),MATCH(I$4,Data[#Headers],0))</f>
        <v>3072226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140759</v>
      </c>
      <c r="D61" s="22">
        <f>INDEX(Data[],MATCH($A61,Data[Dist],0),MATCH(D$4,Data[#Headers],0))</f>
        <v>389627</v>
      </c>
      <c r="E61" s="22">
        <f>INDEX(Data[],MATCH($A61,Data[Dist],0),MATCH(E$4,Data[#Headers],0))</f>
        <v>52376</v>
      </c>
      <c r="F61" s="22">
        <f>INDEX(Data[],MATCH($A61,Data[Dist],0),MATCH(F$4,Data[#Headers],0))</f>
        <v>40239</v>
      </c>
      <c r="G61" s="22">
        <f>INDEX(Data[],MATCH($A61,Data[Dist],0),MATCH(G$4,Data[#Headers],0))</f>
        <v>210384</v>
      </c>
      <c r="H61" s="22">
        <f>INDEX(Data[],MATCH($A61,Data[Dist],0),MATCH(H$4,Data[#Headers],0))</f>
        <v>3558728</v>
      </c>
      <c r="I61" s="22">
        <f>INDEX(Data[],MATCH($A61,Data[Dist],0),MATCH(I$4,Data[#Headers],0))</f>
        <v>4392113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167571</v>
      </c>
      <c r="D62" s="22">
        <f>INDEX(Data[],MATCH($A62,Data[Dist],0),MATCH(D$4,Data[#Headers],0))</f>
        <v>429408</v>
      </c>
      <c r="E62" s="22">
        <f>INDEX(Data[],MATCH($A62,Data[Dist],0),MATCH(E$4,Data[#Headers],0))</f>
        <v>45710</v>
      </c>
      <c r="F62" s="22">
        <f>INDEX(Data[],MATCH($A62,Data[Dist],0),MATCH(F$4,Data[#Headers],0))</f>
        <v>49470</v>
      </c>
      <c r="G62" s="22">
        <f>INDEX(Data[],MATCH($A62,Data[Dist],0),MATCH(G$4,Data[#Headers],0))</f>
        <v>248532</v>
      </c>
      <c r="H62" s="22">
        <f>INDEX(Data[],MATCH($A62,Data[Dist],0),MATCH(H$4,Data[#Headers],0))</f>
        <v>3351208</v>
      </c>
      <c r="I62" s="22">
        <f>INDEX(Data[],MATCH($A62,Data[Dist],0),MATCH(I$4,Data[#Headers],0))</f>
        <v>4291899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174274</v>
      </c>
      <c r="D63" s="22">
        <f>INDEX(Data[],MATCH($A63,Data[Dist],0),MATCH(D$4,Data[#Headers],0))</f>
        <v>723745</v>
      </c>
      <c r="E63" s="22">
        <f>INDEX(Data[],MATCH($A63,Data[Dist],0),MATCH(E$4,Data[#Headers],0))</f>
        <v>99965</v>
      </c>
      <c r="F63" s="22">
        <f>INDEX(Data[],MATCH($A63,Data[Dist],0),MATCH(F$4,Data[#Headers],0))</f>
        <v>77332</v>
      </c>
      <c r="G63" s="22">
        <f>INDEX(Data[],MATCH($A63,Data[Dist],0),MATCH(G$4,Data[#Headers],0))</f>
        <v>414303</v>
      </c>
      <c r="H63" s="22">
        <f>INDEX(Data[],MATCH($A63,Data[Dist],0),MATCH(H$4,Data[#Headers],0))</f>
        <v>6597886</v>
      </c>
      <c r="I63" s="22">
        <f>INDEX(Data[],MATCH($A63,Data[Dist],0),MATCH(I$4,Data[#Headers],0))</f>
        <v>8087505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234599</v>
      </c>
      <c r="D64" s="22">
        <f>INDEX(Data[],MATCH($A64,Data[Dist],0),MATCH(D$4,Data[#Headers],0))</f>
        <v>868598</v>
      </c>
      <c r="E64" s="22">
        <f>INDEX(Data[],MATCH($A64,Data[Dist],0),MATCH(E$4,Data[#Headers],0))</f>
        <v>101260</v>
      </c>
      <c r="F64" s="22">
        <f>INDEX(Data[],MATCH($A64,Data[Dist],0),MATCH(F$4,Data[#Headers],0))</f>
        <v>102626</v>
      </c>
      <c r="G64" s="22">
        <f>INDEX(Data[],MATCH($A64,Data[Dist],0),MATCH(G$4,Data[#Headers],0))</f>
        <v>490305</v>
      </c>
      <c r="H64" s="22">
        <f>INDEX(Data[],MATCH($A64,Data[Dist],0),MATCH(H$4,Data[#Headers],0))</f>
        <v>7309435</v>
      </c>
      <c r="I64" s="22">
        <f>INDEX(Data[],MATCH($A64,Data[Dist],0),MATCH(I$4,Data[#Headers],0))</f>
        <v>9106823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46920</v>
      </c>
      <c r="D65" s="22">
        <f>INDEX(Data[],MATCH($A65,Data[Dist],0),MATCH(D$4,Data[#Headers],0))</f>
        <v>173825</v>
      </c>
      <c r="E65" s="22">
        <f>INDEX(Data[],MATCH($A65,Data[Dist],0),MATCH(E$4,Data[#Headers],0))</f>
        <v>19937</v>
      </c>
      <c r="F65" s="22">
        <f>INDEX(Data[],MATCH($A65,Data[Dist],0),MATCH(F$4,Data[#Headers],0))</f>
        <v>18192</v>
      </c>
      <c r="G65" s="22">
        <f>INDEX(Data[],MATCH($A65,Data[Dist],0),MATCH(G$4,Data[#Headers],0))</f>
        <v>87606</v>
      </c>
      <c r="H65" s="22">
        <f>INDEX(Data[],MATCH($A65,Data[Dist],0),MATCH(H$4,Data[#Headers],0))</f>
        <v>1101651</v>
      </c>
      <c r="I65" s="22">
        <f>INDEX(Data[],MATCH($A65,Data[Dist],0),MATCH(I$4,Data[#Headers],0))</f>
        <v>1448131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147462</v>
      </c>
      <c r="D66" s="22">
        <f>INDEX(Data[],MATCH($A66,Data[Dist],0),MATCH(D$4,Data[#Headers],0))</f>
        <v>577324</v>
      </c>
      <c r="E66" s="22">
        <f>INDEX(Data[],MATCH($A66,Data[Dist],0),MATCH(E$4,Data[#Headers],0))</f>
        <v>69420</v>
      </c>
      <c r="F66" s="22">
        <f>INDEX(Data[],MATCH($A66,Data[Dist],0),MATCH(F$4,Data[#Headers],0))</f>
        <v>64932</v>
      </c>
      <c r="G66" s="22">
        <f>INDEX(Data[],MATCH($A66,Data[Dist],0),MATCH(G$4,Data[#Headers],0))</f>
        <v>317848</v>
      </c>
      <c r="H66" s="22">
        <f>INDEX(Data[],MATCH($A66,Data[Dist],0),MATCH(H$4,Data[#Headers],0))</f>
        <v>4897616</v>
      </c>
      <c r="I66" s="22">
        <f>INDEX(Data[],MATCH($A66,Data[Dist],0),MATCH(I$4,Data[#Headers],0))</f>
        <v>6074602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90488</v>
      </c>
      <c r="D67" s="22">
        <f>INDEX(Data[],MATCH($A67,Data[Dist],0),MATCH(D$4,Data[#Headers],0))</f>
        <v>548777</v>
      </c>
      <c r="E67" s="22">
        <f>INDEX(Data[],MATCH($A67,Data[Dist],0),MATCH(E$4,Data[#Headers],0))</f>
        <v>60517</v>
      </c>
      <c r="F67" s="22">
        <f>INDEX(Data[],MATCH($A67,Data[Dist],0),MATCH(F$4,Data[#Headers],0))</f>
        <v>51771</v>
      </c>
      <c r="G67" s="22">
        <f>INDEX(Data[],MATCH($A67,Data[Dist],0),MATCH(G$4,Data[#Headers],0))</f>
        <v>319774</v>
      </c>
      <c r="H67" s="22">
        <f>INDEX(Data[],MATCH($A67,Data[Dist],0),MATCH(H$4,Data[#Headers],0))</f>
        <v>4584745</v>
      </c>
      <c r="I67" s="22">
        <f>INDEX(Data[],MATCH($A67,Data[Dist],0),MATCH(I$4,Data[#Headers],0))</f>
        <v>5656072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174274</v>
      </c>
      <c r="D68" s="22">
        <f>INDEX(Data[],MATCH($A68,Data[Dist],0),MATCH(D$4,Data[#Headers],0))</f>
        <v>565007</v>
      </c>
      <c r="E68" s="22">
        <f>INDEX(Data[],MATCH($A68,Data[Dist],0),MATCH(E$4,Data[#Headers],0))</f>
        <v>69428</v>
      </c>
      <c r="F68" s="22">
        <f>INDEX(Data[],MATCH($A68,Data[Dist],0),MATCH(F$4,Data[#Headers],0))</f>
        <v>63657</v>
      </c>
      <c r="G68" s="22">
        <f>INDEX(Data[],MATCH($A68,Data[Dist],0),MATCH(G$4,Data[#Headers],0))</f>
        <v>312505</v>
      </c>
      <c r="H68" s="22">
        <f>INDEX(Data[],MATCH($A68,Data[Dist],0),MATCH(H$4,Data[#Headers],0))</f>
        <v>3765853</v>
      </c>
      <c r="I68" s="22">
        <f>INDEX(Data[],MATCH($A68,Data[Dist],0),MATCH(I$4,Data[#Headers],0))</f>
        <v>4950724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177625</v>
      </c>
      <c r="D69" s="22">
        <f>INDEX(Data[],MATCH($A69,Data[Dist],0),MATCH(D$4,Data[#Headers],0))</f>
        <v>846159</v>
      </c>
      <c r="E69" s="22">
        <f>INDEX(Data[],MATCH($A69,Data[Dist],0),MATCH(E$4,Data[#Headers],0))</f>
        <v>111046</v>
      </c>
      <c r="F69" s="22">
        <f>INDEX(Data[],MATCH($A69,Data[Dist],0),MATCH(F$4,Data[#Headers],0))</f>
        <v>87415</v>
      </c>
      <c r="G69" s="22">
        <f>INDEX(Data[],MATCH($A69,Data[Dist],0),MATCH(G$4,Data[#Headers],0))</f>
        <v>476559</v>
      </c>
      <c r="H69" s="22">
        <f>INDEX(Data[],MATCH($A69,Data[Dist],0),MATCH(H$4,Data[#Headers],0))</f>
        <v>8295022</v>
      </c>
      <c r="I69" s="22">
        <f>INDEX(Data[],MATCH($A69,Data[Dist],0),MATCH(I$4,Data[#Headers],0))</f>
        <v>9993826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53623</v>
      </c>
      <c r="D70" s="22">
        <f>INDEX(Data[],MATCH($A70,Data[Dist],0),MATCH(D$4,Data[#Headers],0))</f>
        <v>216210</v>
      </c>
      <c r="E70" s="22">
        <f>INDEX(Data[],MATCH($A70,Data[Dist],0),MATCH(E$4,Data[#Headers],0))</f>
        <v>23736</v>
      </c>
      <c r="F70" s="22">
        <f>INDEX(Data[],MATCH($A70,Data[Dist],0),MATCH(F$4,Data[#Headers],0))</f>
        <v>23117</v>
      </c>
      <c r="G70" s="22">
        <f>INDEX(Data[],MATCH($A70,Data[Dist],0),MATCH(G$4,Data[#Headers],0))</f>
        <v>105386</v>
      </c>
      <c r="H70" s="22">
        <f>INDEX(Data[],MATCH($A70,Data[Dist],0),MATCH(H$4,Data[#Headers],0))</f>
        <v>1651126</v>
      </c>
      <c r="I70" s="22">
        <f>INDEX(Data[],MATCH($A70,Data[Dist],0),MATCH(I$4,Data[#Headers],0))</f>
        <v>2073198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36866</v>
      </c>
      <c r="D71" s="22">
        <f>INDEX(Data[],MATCH($A71,Data[Dist],0),MATCH(D$4,Data[#Headers],0))</f>
        <v>219675</v>
      </c>
      <c r="E71" s="22">
        <f>INDEX(Data[],MATCH($A71,Data[Dist],0),MATCH(E$4,Data[#Headers],0))</f>
        <v>22001</v>
      </c>
      <c r="F71" s="22">
        <f>INDEX(Data[],MATCH($A71,Data[Dist],0),MATCH(F$4,Data[#Headers],0))</f>
        <v>24148</v>
      </c>
      <c r="G71" s="22">
        <f>INDEX(Data[],MATCH($A71,Data[Dist],0),MATCH(G$4,Data[#Headers],0))</f>
        <v>112498</v>
      </c>
      <c r="H71" s="22">
        <f>INDEX(Data[],MATCH($A71,Data[Dist],0),MATCH(H$4,Data[#Headers],0))</f>
        <v>889663</v>
      </c>
      <c r="I71" s="22">
        <f>INDEX(Data[],MATCH($A71,Data[Dist],0),MATCH(I$4,Data[#Headers],0))</f>
        <v>1304851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506064</v>
      </c>
      <c r="D72" s="22">
        <f>INDEX(Data[],MATCH($A72,Data[Dist],0),MATCH(D$4,Data[#Headers],0))</f>
        <v>1276665</v>
      </c>
      <c r="E72" s="22">
        <f>INDEX(Data[],MATCH($A72,Data[Dist],0),MATCH(E$4,Data[#Headers],0))</f>
        <v>125650</v>
      </c>
      <c r="F72" s="22">
        <f>INDEX(Data[],MATCH($A72,Data[Dist],0),MATCH(F$4,Data[#Headers],0))</f>
        <v>138800</v>
      </c>
      <c r="G72" s="22">
        <f>INDEX(Data[],MATCH($A72,Data[Dist],0),MATCH(G$4,Data[#Headers],0))</f>
        <v>715590</v>
      </c>
      <c r="H72" s="22">
        <f>INDEX(Data[],MATCH($A72,Data[Dist],0),MATCH(H$4,Data[#Headers],0))</f>
        <v>8381298</v>
      </c>
      <c r="I72" s="22">
        <f>INDEX(Data[],MATCH($A72,Data[Dist],0),MATCH(I$4,Data[#Headers],0))</f>
        <v>11144067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261410</v>
      </c>
      <c r="D73" s="22">
        <f>INDEX(Data[],MATCH($A73,Data[Dist],0),MATCH(D$4,Data[#Headers],0))</f>
        <v>689318</v>
      </c>
      <c r="E73" s="22">
        <f>INDEX(Data[],MATCH($A73,Data[Dist],0),MATCH(E$4,Data[#Headers],0))</f>
        <v>79007</v>
      </c>
      <c r="F73" s="22">
        <f>INDEX(Data[],MATCH($A73,Data[Dist],0),MATCH(F$4,Data[#Headers],0))</f>
        <v>75712</v>
      </c>
      <c r="G73" s="22">
        <f>INDEX(Data[],MATCH($A73,Data[Dist],0),MATCH(G$4,Data[#Headers],0))</f>
        <v>402868</v>
      </c>
      <c r="H73" s="22">
        <f>INDEX(Data[],MATCH($A73,Data[Dist],0),MATCH(H$4,Data[#Headers],0))</f>
        <v>3946094</v>
      </c>
      <c r="I73" s="22">
        <f>INDEX(Data[],MATCH($A73,Data[Dist],0),MATCH(I$4,Data[#Headers],0))</f>
        <v>5454409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717203</v>
      </c>
      <c r="D74" s="22">
        <f>INDEX(Data[],MATCH($A74,Data[Dist],0),MATCH(D$4,Data[#Headers],0))</f>
        <v>2178720</v>
      </c>
      <c r="E74" s="22">
        <f>INDEX(Data[],MATCH($A74,Data[Dist],0),MATCH(E$4,Data[#Headers],0))</f>
        <v>292830</v>
      </c>
      <c r="F74" s="22">
        <f>INDEX(Data[],MATCH($A74,Data[Dist],0),MATCH(F$4,Data[#Headers],0))</f>
        <v>251121</v>
      </c>
      <c r="G74" s="22">
        <f>INDEX(Data[],MATCH($A74,Data[Dist],0),MATCH(G$4,Data[#Headers],0))</f>
        <v>1223512</v>
      </c>
      <c r="H74" s="22">
        <f>INDEX(Data[],MATCH($A74,Data[Dist],0),MATCH(H$4,Data[#Headers],0))</f>
        <v>22010818</v>
      </c>
      <c r="I74" s="22">
        <f>INDEX(Data[],MATCH($A74,Data[Dist],0),MATCH(I$4,Data[#Headers],0))</f>
        <v>26674204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150814</v>
      </c>
      <c r="D75" s="22">
        <f>INDEX(Data[],MATCH($A75,Data[Dist],0),MATCH(D$4,Data[#Headers],0))</f>
        <v>426825</v>
      </c>
      <c r="E75" s="22">
        <f>INDEX(Data[],MATCH($A75,Data[Dist],0),MATCH(E$4,Data[#Headers],0))</f>
        <v>49044</v>
      </c>
      <c r="F75" s="22">
        <f>INDEX(Data[],MATCH($A75,Data[Dist],0),MATCH(F$4,Data[#Headers],0))</f>
        <v>41791</v>
      </c>
      <c r="G75" s="22">
        <f>INDEX(Data[],MATCH($A75,Data[Dist],0),MATCH(G$4,Data[#Headers],0))</f>
        <v>240435</v>
      </c>
      <c r="H75" s="22">
        <f>INDEX(Data[],MATCH($A75,Data[Dist],0),MATCH(H$4,Data[#Headers],0))</f>
        <v>3923796</v>
      </c>
      <c r="I75" s="22">
        <f>INDEX(Data[],MATCH($A75,Data[Dist],0),MATCH(I$4,Data[#Headers],0))</f>
        <v>4832705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935045</v>
      </c>
      <c r="D76" s="22">
        <f>INDEX(Data[],MATCH($A76,Data[Dist],0),MATCH(D$4,Data[#Headers],0))</f>
        <v>2845164</v>
      </c>
      <c r="E76" s="22">
        <f>INDEX(Data[],MATCH($A76,Data[Dist],0),MATCH(E$4,Data[#Headers],0))</f>
        <v>367894</v>
      </c>
      <c r="F76" s="22">
        <f>INDEX(Data[],MATCH($A76,Data[Dist],0),MATCH(F$4,Data[#Headers],0))</f>
        <v>351580</v>
      </c>
      <c r="G76" s="22">
        <f>INDEX(Data[],MATCH($A76,Data[Dist],0),MATCH(G$4,Data[#Headers],0))</f>
        <v>1685622</v>
      </c>
      <c r="H76" s="22">
        <f>INDEX(Data[],MATCH($A76,Data[Dist],0),MATCH(H$4,Data[#Headers],0))</f>
        <v>22209364</v>
      </c>
      <c r="I76" s="22">
        <f>INDEX(Data[],MATCH($A76,Data[Dist],0),MATCH(I$4,Data[#Headers],0))</f>
        <v>28394669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70380</v>
      </c>
      <c r="D77" s="22">
        <f>INDEX(Data[],MATCH($A77,Data[Dist],0),MATCH(D$4,Data[#Headers],0))</f>
        <v>289429</v>
      </c>
      <c r="E77" s="22">
        <f>INDEX(Data[],MATCH($A77,Data[Dist],0),MATCH(E$4,Data[#Headers],0))</f>
        <v>32263</v>
      </c>
      <c r="F77" s="22">
        <f>INDEX(Data[],MATCH($A77,Data[Dist],0),MATCH(F$4,Data[#Headers],0))</f>
        <v>29530</v>
      </c>
      <c r="G77" s="22">
        <f>INDEX(Data[],MATCH($A77,Data[Dist],0),MATCH(G$4,Data[#Headers],0))</f>
        <v>157788</v>
      </c>
      <c r="H77" s="22">
        <f>INDEX(Data[],MATCH($A77,Data[Dist],0),MATCH(H$4,Data[#Headers],0))</f>
        <v>2294473</v>
      </c>
      <c r="I77" s="22">
        <f>INDEX(Data[],MATCH($A77,Data[Dist],0),MATCH(I$4,Data[#Headers],0))</f>
        <v>2873863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73731</v>
      </c>
      <c r="D78" s="22">
        <f>INDEX(Data[],MATCH($A78,Data[Dist],0),MATCH(D$4,Data[#Headers],0))</f>
        <v>322540</v>
      </c>
      <c r="E78" s="22">
        <f>INDEX(Data[],MATCH($A78,Data[Dist],0),MATCH(E$4,Data[#Headers],0))</f>
        <v>34233</v>
      </c>
      <c r="F78" s="22">
        <f>INDEX(Data[],MATCH($A78,Data[Dist],0),MATCH(F$4,Data[#Headers],0))</f>
        <v>32254</v>
      </c>
      <c r="G78" s="22">
        <f>INDEX(Data[],MATCH($A78,Data[Dist],0),MATCH(G$4,Data[#Headers],0))</f>
        <v>167397</v>
      </c>
      <c r="H78" s="22">
        <f>INDEX(Data[],MATCH($A78,Data[Dist],0),MATCH(H$4,Data[#Headers],0))</f>
        <v>1958422</v>
      </c>
      <c r="I78" s="22">
        <f>INDEX(Data[],MATCH($A78,Data[Dist],0),MATCH(I$4,Data[#Headers],0))</f>
        <v>2588577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103894</v>
      </c>
      <c r="D79" s="22">
        <f>INDEX(Data[],MATCH($A79,Data[Dist],0),MATCH(D$4,Data[#Headers],0))</f>
        <v>485777</v>
      </c>
      <c r="E79" s="22">
        <f>INDEX(Data[],MATCH($A79,Data[Dist],0),MATCH(E$4,Data[#Headers],0))</f>
        <v>59982</v>
      </c>
      <c r="F79" s="22">
        <f>INDEX(Data[],MATCH($A79,Data[Dist],0),MATCH(F$4,Data[#Headers],0))</f>
        <v>57869</v>
      </c>
      <c r="G79" s="22">
        <f>INDEX(Data[],MATCH($A79,Data[Dist],0),MATCH(G$4,Data[#Headers],0))</f>
        <v>257679</v>
      </c>
      <c r="H79" s="22">
        <f>INDEX(Data[],MATCH($A79,Data[Dist],0),MATCH(H$4,Data[#Headers],0))</f>
        <v>4272819</v>
      </c>
      <c r="I79" s="22">
        <f>INDEX(Data[],MATCH($A79,Data[Dist],0),MATCH(I$4,Data[#Headers],0))</f>
        <v>5238020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93840</v>
      </c>
      <c r="D80" s="22">
        <f>INDEX(Data[],MATCH($A80,Data[Dist],0),MATCH(D$4,Data[#Headers],0))</f>
        <v>288261</v>
      </c>
      <c r="E80" s="22">
        <f>INDEX(Data[],MATCH($A80,Data[Dist],0),MATCH(E$4,Data[#Headers],0))</f>
        <v>33096</v>
      </c>
      <c r="F80" s="22">
        <f>INDEX(Data[],MATCH($A80,Data[Dist],0),MATCH(F$4,Data[#Headers],0))</f>
        <v>30822</v>
      </c>
      <c r="G80" s="22">
        <f>INDEX(Data[],MATCH($A80,Data[Dist],0),MATCH(G$4,Data[#Headers],0))</f>
        <v>143334</v>
      </c>
      <c r="H80" s="22">
        <f>INDEX(Data[],MATCH($A80,Data[Dist],0),MATCH(H$4,Data[#Headers],0))</f>
        <v>1910973</v>
      </c>
      <c r="I80" s="22">
        <f>INDEX(Data[],MATCH($A80,Data[Dist],0),MATCH(I$4,Data[#Headers],0))</f>
        <v>2500326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124002</v>
      </c>
      <c r="D81" s="22">
        <f>INDEX(Data[],MATCH($A81,Data[Dist],0),MATCH(D$4,Data[#Headers],0))</f>
        <v>277044</v>
      </c>
      <c r="E81" s="22">
        <f>INDEX(Data[],MATCH($A81,Data[Dist],0),MATCH(E$4,Data[#Headers],0))</f>
        <v>33075</v>
      </c>
      <c r="F81" s="22">
        <f>INDEX(Data[],MATCH($A81,Data[Dist],0),MATCH(F$4,Data[#Headers],0))</f>
        <v>27929</v>
      </c>
      <c r="G81" s="22">
        <f>INDEX(Data[],MATCH($A81,Data[Dist],0),MATCH(G$4,Data[#Headers],0))</f>
        <v>136258</v>
      </c>
      <c r="H81" s="22">
        <f>INDEX(Data[],MATCH($A81,Data[Dist],0),MATCH(H$4,Data[#Headers],0))</f>
        <v>1520041</v>
      </c>
      <c r="I81" s="22">
        <f>INDEX(Data[],MATCH($A81,Data[Dist],0),MATCH(I$4,Data[#Headers],0))</f>
        <v>2118349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1226618</v>
      </c>
      <c r="D82" s="22">
        <f>INDEX(Data[],MATCH($A82,Data[Dist],0),MATCH(D$4,Data[#Headers],0))</f>
        <v>5104718</v>
      </c>
      <c r="E82" s="22">
        <f>INDEX(Data[],MATCH($A82,Data[Dist],0),MATCH(E$4,Data[#Headers],0))</f>
        <v>759714</v>
      </c>
      <c r="F82" s="22">
        <f>INDEX(Data[],MATCH($A82,Data[Dist],0),MATCH(F$4,Data[#Headers],0))</f>
        <v>592719</v>
      </c>
      <c r="G82" s="22">
        <f>INDEX(Data[],MATCH($A82,Data[Dist],0),MATCH(G$4,Data[#Headers],0))</f>
        <v>2992478</v>
      </c>
      <c r="H82" s="22">
        <f>INDEX(Data[],MATCH($A82,Data[Dist],0),MATCH(H$4,Data[#Headers],0))</f>
        <v>56451739</v>
      </c>
      <c r="I82" s="22">
        <f>INDEX(Data[],MATCH($A82,Data[Dist],0),MATCH(I$4,Data[#Headers],0))</f>
        <v>67127986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288222</v>
      </c>
      <c r="D83" s="22">
        <f>INDEX(Data[],MATCH($A83,Data[Dist],0),MATCH(D$4,Data[#Headers],0))</f>
        <v>873099</v>
      </c>
      <c r="E83" s="22">
        <f>INDEX(Data[],MATCH($A83,Data[Dist],0),MATCH(E$4,Data[#Headers],0))</f>
        <v>109244</v>
      </c>
      <c r="F83" s="22">
        <f>INDEX(Data[],MATCH($A83,Data[Dist],0),MATCH(F$4,Data[#Headers],0))</f>
        <v>95473</v>
      </c>
      <c r="G83" s="22">
        <f>INDEX(Data[],MATCH($A83,Data[Dist],0),MATCH(G$4,Data[#Headers],0))</f>
        <v>480379</v>
      </c>
      <c r="H83" s="22">
        <f>INDEX(Data[],MATCH($A83,Data[Dist],0),MATCH(H$4,Data[#Headers],0))</f>
        <v>7333236</v>
      </c>
      <c r="I83" s="22">
        <f>INDEX(Data[],MATCH($A83,Data[Dist],0),MATCH(I$4,Data[#Headers],0))</f>
        <v>9179653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650175</v>
      </c>
      <c r="D84" s="22">
        <f>INDEX(Data[],MATCH($A84,Data[Dist],0),MATCH(D$4,Data[#Headers],0))</f>
        <v>1562045</v>
      </c>
      <c r="E84" s="22">
        <f>INDEX(Data[],MATCH($A84,Data[Dist],0),MATCH(E$4,Data[#Headers],0))</f>
        <v>185390</v>
      </c>
      <c r="F84" s="22">
        <f>INDEX(Data[],MATCH($A84,Data[Dist],0),MATCH(F$4,Data[#Headers],0))</f>
        <v>164684</v>
      </c>
      <c r="G84" s="22">
        <f>INDEX(Data[],MATCH($A84,Data[Dist],0),MATCH(G$4,Data[#Headers],0))</f>
        <v>921024</v>
      </c>
      <c r="H84" s="22">
        <f>INDEX(Data[],MATCH($A84,Data[Dist],0),MATCH(H$4,Data[#Headers],0))</f>
        <v>12794835</v>
      </c>
      <c r="I84" s="22">
        <f>INDEX(Data[],MATCH($A84,Data[Dist],0),MATCH(I$4,Data[#Headers],0))</f>
        <v>16278153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130705</v>
      </c>
      <c r="D85" s="22">
        <f>INDEX(Data[],MATCH($A85,Data[Dist],0),MATCH(D$4,Data[#Headers],0))</f>
        <v>305512</v>
      </c>
      <c r="E85" s="22">
        <f>INDEX(Data[],MATCH($A85,Data[Dist],0),MATCH(E$4,Data[#Headers],0))</f>
        <v>36972</v>
      </c>
      <c r="F85" s="22">
        <f>INDEX(Data[],MATCH($A85,Data[Dist],0),MATCH(F$4,Data[#Headers],0))</f>
        <v>33162</v>
      </c>
      <c r="G85" s="22">
        <f>INDEX(Data[],MATCH($A85,Data[Dist],0),MATCH(G$4,Data[#Headers],0))</f>
        <v>167658</v>
      </c>
      <c r="H85" s="22">
        <f>INDEX(Data[],MATCH($A85,Data[Dist],0),MATCH(H$4,Data[#Headers],0))</f>
        <v>2560277</v>
      </c>
      <c r="I85" s="22">
        <f>INDEX(Data[],MATCH($A85,Data[Dist],0),MATCH(I$4,Data[#Headers],0))</f>
        <v>3234286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2905716</v>
      </c>
      <c r="D86" s="22">
        <f>INDEX(Data[],MATCH($A86,Data[Dist],0),MATCH(D$4,Data[#Headers],0))</f>
        <v>8702902</v>
      </c>
      <c r="E86" s="22">
        <f>INDEX(Data[],MATCH($A86,Data[Dist],0),MATCH(E$4,Data[#Headers],0))</f>
        <v>1265223</v>
      </c>
      <c r="F86" s="22">
        <f>INDEX(Data[],MATCH($A86,Data[Dist],0),MATCH(F$4,Data[#Headers],0))</f>
        <v>1073457</v>
      </c>
      <c r="G86" s="22">
        <f>INDEX(Data[],MATCH($A86,Data[Dist],0),MATCH(G$4,Data[#Headers],0))</f>
        <v>5007452</v>
      </c>
      <c r="H86" s="22">
        <f>INDEX(Data[],MATCH($A86,Data[Dist],0),MATCH(H$4,Data[#Headers],0))</f>
        <v>86440944</v>
      </c>
      <c r="I86" s="22">
        <f>INDEX(Data[],MATCH($A86,Data[Dist],0),MATCH(I$4,Data[#Headers],0))</f>
        <v>105395694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214491</v>
      </c>
      <c r="D87" s="22">
        <f>INDEX(Data[],MATCH($A87,Data[Dist],0),MATCH(D$4,Data[#Headers],0))</f>
        <v>684041</v>
      </c>
      <c r="E87" s="22">
        <f>INDEX(Data[],MATCH($A87,Data[Dist],0),MATCH(E$4,Data[#Headers],0))</f>
        <v>75964</v>
      </c>
      <c r="F87" s="22">
        <f>INDEX(Data[],MATCH($A87,Data[Dist],0),MATCH(F$4,Data[#Headers],0))</f>
        <v>75325</v>
      </c>
      <c r="G87" s="22">
        <f>INDEX(Data[],MATCH($A87,Data[Dist],0),MATCH(G$4,Data[#Headers],0))</f>
        <v>382267</v>
      </c>
      <c r="H87" s="22">
        <f>INDEX(Data[],MATCH($A87,Data[Dist],0),MATCH(H$4,Data[#Headers],0))</f>
        <v>5483011</v>
      </c>
      <c r="I87" s="22">
        <f>INDEX(Data[],MATCH($A87,Data[Dist],0),MATCH(I$4,Data[#Headers],0))</f>
        <v>6915099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298276</v>
      </c>
      <c r="D88" s="22">
        <f>INDEX(Data[],MATCH($A88,Data[Dist],0),MATCH(D$4,Data[#Headers],0))</f>
        <v>803294</v>
      </c>
      <c r="E88" s="22">
        <f>INDEX(Data[],MATCH($A88,Data[Dist],0),MATCH(E$4,Data[#Headers],0))</f>
        <v>88260</v>
      </c>
      <c r="F88" s="22">
        <f>INDEX(Data[],MATCH($A88,Data[Dist],0),MATCH(F$4,Data[#Headers],0))</f>
        <v>97638</v>
      </c>
      <c r="G88" s="22">
        <f>INDEX(Data[],MATCH($A88,Data[Dist],0),MATCH(G$4,Data[#Headers],0))</f>
        <v>446358</v>
      </c>
      <c r="H88" s="22">
        <f>INDEX(Data[],MATCH($A88,Data[Dist],0),MATCH(H$4,Data[#Headers],0))</f>
        <v>5231782</v>
      </c>
      <c r="I88" s="22">
        <f>INDEX(Data[],MATCH($A88,Data[Dist],0),MATCH(I$4,Data[#Headers],0))</f>
        <v>6965608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67028</v>
      </c>
      <c r="D89" s="22">
        <f>INDEX(Data[],MATCH($A89,Data[Dist],0),MATCH(D$4,Data[#Headers],0))</f>
        <v>101632</v>
      </c>
      <c r="E89" s="22">
        <f>INDEX(Data[],MATCH($A89,Data[Dist],0),MATCH(E$4,Data[#Headers],0))</f>
        <v>13434</v>
      </c>
      <c r="F89" s="22">
        <f>INDEX(Data[],MATCH($A89,Data[Dist],0),MATCH(F$4,Data[#Headers],0))</f>
        <v>8325</v>
      </c>
      <c r="G89" s="22">
        <f>INDEX(Data[],MATCH($A89,Data[Dist],0),MATCH(G$4,Data[#Headers],0))</f>
        <v>64484</v>
      </c>
      <c r="H89" s="22">
        <f>INDEX(Data[],MATCH($A89,Data[Dist],0),MATCH(H$4,Data[#Headers],0))</f>
        <v>817863</v>
      </c>
      <c r="I89" s="22">
        <f>INDEX(Data[],MATCH($A89,Data[Dist],0),MATCH(I$4,Data[#Headers],0))</f>
        <v>1072766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405521</v>
      </c>
      <c r="D90" s="22">
        <f>INDEX(Data[],MATCH($A90,Data[Dist],0),MATCH(D$4,Data[#Headers],0))</f>
        <v>1143889</v>
      </c>
      <c r="E90" s="22">
        <f>INDEX(Data[],MATCH($A90,Data[Dist],0),MATCH(E$4,Data[#Headers],0))</f>
        <v>170853</v>
      </c>
      <c r="F90" s="22">
        <f>INDEX(Data[],MATCH($A90,Data[Dist],0),MATCH(F$4,Data[#Headers],0))</f>
        <v>139822</v>
      </c>
      <c r="G90" s="22">
        <f>INDEX(Data[],MATCH($A90,Data[Dist],0),MATCH(G$4,Data[#Headers],0))</f>
        <v>685977</v>
      </c>
      <c r="H90" s="22">
        <f>INDEX(Data[],MATCH($A90,Data[Dist],0),MATCH(H$4,Data[#Headers],0))</f>
        <v>13066887</v>
      </c>
      <c r="I90" s="22">
        <f>INDEX(Data[],MATCH($A90,Data[Dist],0),MATCH(I$4,Data[#Headers],0))</f>
        <v>15612949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197733</v>
      </c>
      <c r="D91" s="22">
        <f>INDEX(Data[],MATCH($A91,Data[Dist],0),MATCH(D$4,Data[#Headers],0))</f>
        <v>437970</v>
      </c>
      <c r="E91" s="22">
        <f>INDEX(Data[],MATCH($A91,Data[Dist],0),MATCH(E$4,Data[#Headers],0))</f>
        <v>41055</v>
      </c>
      <c r="F91" s="22">
        <f>INDEX(Data[],MATCH($A91,Data[Dist],0),MATCH(F$4,Data[#Headers],0))</f>
        <v>41610</v>
      </c>
      <c r="G91" s="22">
        <f>INDEX(Data[],MATCH($A91,Data[Dist],0),MATCH(G$4,Data[#Headers],0))</f>
        <v>244875</v>
      </c>
      <c r="H91" s="22">
        <f>INDEX(Data[],MATCH($A91,Data[Dist],0),MATCH(H$4,Data[#Headers],0))</f>
        <v>3520131</v>
      </c>
      <c r="I91" s="22">
        <f>INDEX(Data[],MATCH($A91,Data[Dist],0),MATCH(I$4,Data[#Headers],0))</f>
        <v>4483374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5181288</v>
      </c>
      <c r="D92" s="22">
        <f>INDEX(Data[],MATCH($A92,Data[Dist],0),MATCH(D$4,Data[#Headers],0))</f>
        <v>20103858</v>
      </c>
      <c r="E92" s="22">
        <f>INDEX(Data[],MATCH($A92,Data[Dist],0),MATCH(E$4,Data[#Headers],0))</f>
        <v>3017810</v>
      </c>
      <c r="F92" s="22">
        <f>INDEX(Data[],MATCH($A92,Data[Dist],0),MATCH(F$4,Data[#Headers],0))</f>
        <v>2503767</v>
      </c>
      <c r="G92" s="22">
        <f>INDEX(Data[],MATCH($A92,Data[Dist],0),MATCH(G$4,Data[#Headers],0))</f>
        <v>10793241</v>
      </c>
      <c r="H92" s="22">
        <f>INDEX(Data[],MATCH($A92,Data[Dist],0),MATCH(H$4,Data[#Headers],0))</f>
        <v>203948433</v>
      </c>
      <c r="I92" s="22">
        <f>INDEX(Data[],MATCH($A92,Data[Dist],0),MATCH(I$4,Data[#Headers],0))</f>
        <v>245548397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33514</v>
      </c>
      <c r="D93" s="22">
        <f>INDEX(Data[],MATCH($A93,Data[Dist],0),MATCH(D$4,Data[#Headers],0))</f>
        <v>83740</v>
      </c>
      <c r="E93" s="22">
        <f>INDEX(Data[],MATCH($A93,Data[Dist],0),MATCH(E$4,Data[#Headers],0))</f>
        <v>10329</v>
      </c>
      <c r="F93" s="22">
        <f>INDEX(Data[],MATCH($A93,Data[Dist],0),MATCH(F$4,Data[#Headers],0))</f>
        <v>9374</v>
      </c>
      <c r="G93" s="22">
        <f>INDEX(Data[],MATCH($A93,Data[Dist],0),MATCH(G$4,Data[#Headers],0))</f>
        <v>32327</v>
      </c>
      <c r="H93" s="22">
        <f>INDEX(Data[],MATCH($A93,Data[Dist],0),MATCH(H$4,Data[#Headers],0))</f>
        <v>535846</v>
      </c>
      <c r="I93" s="22">
        <f>INDEX(Data[],MATCH($A93,Data[Dist],0),MATCH(I$4,Data[#Headers],0))</f>
        <v>705130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120651</v>
      </c>
      <c r="D94" s="22">
        <f>INDEX(Data[],MATCH($A94,Data[Dist],0),MATCH(D$4,Data[#Headers],0))</f>
        <v>531499</v>
      </c>
      <c r="E94" s="22">
        <f>INDEX(Data[],MATCH($A94,Data[Dist],0),MATCH(E$4,Data[#Headers],0))</f>
        <v>53170</v>
      </c>
      <c r="F94" s="22">
        <f>INDEX(Data[],MATCH($A94,Data[Dist],0),MATCH(F$4,Data[#Headers],0))</f>
        <v>56081</v>
      </c>
      <c r="G94" s="22">
        <f>INDEX(Data[],MATCH($A94,Data[Dist],0),MATCH(G$4,Data[#Headers],0))</f>
        <v>288038</v>
      </c>
      <c r="H94" s="22">
        <f>INDEX(Data[],MATCH($A94,Data[Dist],0),MATCH(H$4,Data[#Headers],0))</f>
        <v>4462984</v>
      </c>
      <c r="I94" s="22">
        <f>INDEX(Data[],MATCH($A94,Data[Dist],0),MATCH(I$4,Data[#Headers],0))</f>
        <v>5512423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2342639</v>
      </c>
      <c r="D95" s="22">
        <f>INDEX(Data[],MATCH($A95,Data[Dist],0),MATCH(D$4,Data[#Headers],0))</f>
        <v>6303345</v>
      </c>
      <c r="E95" s="22">
        <f>INDEX(Data[],MATCH($A95,Data[Dist],0),MATCH(E$4,Data[#Headers],0))</f>
        <v>754809</v>
      </c>
      <c r="F95" s="22">
        <f>INDEX(Data[],MATCH($A95,Data[Dist],0),MATCH(F$4,Data[#Headers],0))</f>
        <v>747769</v>
      </c>
      <c r="G95" s="22">
        <f>INDEX(Data[],MATCH($A95,Data[Dist],0),MATCH(G$4,Data[#Headers],0))</f>
        <v>3430470</v>
      </c>
      <c r="H95" s="22">
        <f>INDEX(Data[],MATCH($A95,Data[Dist],0),MATCH(H$4,Data[#Headers],0))</f>
        <v>52233162</v>
      </c>
      <c r="I95" s="22">
        <f>INDEX(Data[],MATCH($A95,Data[Dist],0),MATCH(I$4,Data[#Headers],0))</f>
        <v>65812194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73731</v>
      </c>
      <c r="D96" s="22">
        <f>INDEX(Data[],MATCH($A96,Data[Dist],0),MATCH(D$4,Data[#Headers],0))</f>
        <v>255555</v>
      </c>
      <c r="E96" s="22">
        <f>INDEX(Data[],MATCH($A96,Data[Dist],0),MATCH(E$4,Data[#Headers],0))</f>
        <v>28659</v>
      </c>
      <c r="F96" s="22">
        <f>INDEX(Data[],MATCH($A96,Data[Dist],0),MATCH(F$4,Data[#Headers],0))</f>
        <v>26651</v>
      </c>
      <c r="G96" s="22">
        <f>INDEX(Data[],MATCH($A96,Data[Dist],0),MATCH(G$4,Data[#Headers],0))</f>
        <v>136901</v>
      </c>
      <c r="H96" s="22">
        <f>INDEX(Data[],MATCH($A96,Data[Dist],0),MATCH(H$4,Data[#Headers],0))</f>
        <v>1917254</v>
      </c>
      <c r="I96" s="22">
        <f>INDEX(Data[],MATCH($A96,Data[Dist],0),MATCH(I$4,Data[#Headers],0))</f>
        <v>2438751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80434</v>
      </c>
      <c r="D97" s="22">
        <f>INDEX(Data[],MATCH($A97,Data[Dist],0),MATCH(D$4,Data[#Headers],0))</f>
        <v>268937</v>
      </c>
      <c r="E97" s="22">
        <f>INDEX(Data[],MATCH($A97,Data[Dist],0),MATCH(E$4,Data[#Headers],0))</f>
        <v>30521</v>
      </c>
      <c r="F97" s="22">
        <f>INDEX(Data[],MATCH($A97,Data[Dist],0),MATCH(F$4,Data[#Headers],0))</f>
        <v>32217</v>
      </c>
      <c r="G97" s="22">
        <f>INDEX(Data[],MATCH($A97,Data[Dist],0),MATCH(G$4,Data[#Headers],0))</f>
        <v>134383</v>
      </c>
      <c r="H97" s="22">
        <f>INDEX(Data[],MATCH($A97,Data[Dist],0),MATCH(H$4,Data[#Headers],0))</f>
        <v>1723364</v>
      </c>
      <c r="I97" s="22">
        <f>INDEX(Data[],MATCH($A97,Data[Dist],0),MATCH(I$4,Data[#Headers],0))</f>
        <v>2269856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80434</v>
      </c>
      <c r="D98" s="22">
        <f>INDEX(Data[],MATCH($A98,Data[Dist],0),MATCH(D$4,Data[#Headers],0))</f>
        <v>393285</v>
      </c>
      <c r="E98" s="22">
        <f>INDEX(Data[],MATCH($A98,Data[Dist],0),MATCH(E$4,Data[#Headers],0))</f>
        <v>35748</v>
      </c>
      <c r="F98" s="22">
        <f>INDEX(Data[],MATCH($A98,Data[Dist],0),MATCH(F$4,Data[#Headers],0))</f>
        <v>44499</v>
      </c>
      <c r="G98" s="22">
        <f>INDEX(Data[],MATCH($A98,Data[Dist],0),MATCH(G$4,Data[#Headers],0))</f>
        <v>187723</v>
      </c>
      <c r="H98" s="22">
        <f>INDEX(Data[],MATCH($A98,Data[Dist],0),MATCH(H$4,Data[#Headers],0))</f>
        <v>2417701</v>
      </c>
      <c r="I98" s="22">
        <f>INDEX(Data[],MATCH($A98,Data[Dist],0),MATCH(I$4,Data[#Headers],0))</f>
        <v>3159390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164219</v>
      </c>
      <c r="D99" s="22">
        <f>INDEX(Data[],MATCH($A99,Data[Dist],0),MATCH(D$4,Data[#Headers],0))</f>
        <v>653569</v>
      </c>
      <c r="E99" s="22">
        <f>INDEX(Data[],MATCH($A99,Data[Dist],0),MATCH(E$4,Data[#Headers],0))</f>
        <v>69010</v>
      </c>
      <c r="F99" s="22">
        <f>INDEX(Data[],MATCH($A99,Data[Dist],0),MATCH(F$4,Data[#Headers],0))</f>
        <v>56950</v>
      </c>
      <c r="G99" s="22">
        <f>INDEX(Data[],MATCH($A99,Data[Dist],0),MATCH(G$4,Data[#Headers],0))</f>
        <v>356373</v>
      </c>
      <c r="H99" s="22">
        <f>INDEX(Data[],MATCH($A99,Data[Dist],0),MATCH(H$4,Data[#Headers],0))</f>
        <v>4858416</v>
      </c>
      <c r="I99" s="22">
        <f>INDEX(Data[],MATCH($A99,Data[Dist],0),MATCH(I$4,Data[#Headers],0))</f>
        <v>6158537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191031</v>
      </c>
      <c r="D100" s="22">
        <f>INDEX(Data[],MATCH($A100,Data[Dist],0),MATCH(D$4,Data[#Headers],0))</f>
        <v>504212</v>
      </c>
      <c r="E100" s="22">
        <f>INDEX(Data[],MATCH($A100,Data[Dist],0),MATCH(E$4,Data[#Headers],0))</f>
        <v>62188</v>
      </c>
      <c r="F100" s="22">
        <f>INDEX(Data[],MATCH($A100,Data[Dist],0),MATCH(F$4,Data[#Headers],0))</f>
        <v>55196</v>
      </c>
      <c r="G100" s="22">
        <f>INDEX(Data[],MATCH($A100,Data[Dist],0),MATCH(G$4,Data[#Headers],0))</f>
        <v>276741</v>
      </c>
      <c r="H100" s="22">
        <f>INDEX(Data[],MATCH($A100,Data[Dist],0),MATCH(H$4,Data[#Headers],0))</f>
        <v>4551252</v>
      </c>
      <c r="I100" s="22">
        <f>INDEX(Data[],MATCH($A100,Data[Dist],0),MATCH(I$4,Data[#Headers],0))</f>
        <v>5640620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124002</v>
      </c>
      <c r="D101" s="22">
        <f>INDEX(Data[],MATCH($A101,Data[Dist],0),MATCH(D$4,Data[#Headers],0))</f>
        <v>353364</v>
      </c>
      <c r="E101" s="22">
        <f>INDEX(Data[],MATCH($A101,Data[Dist],0),MATCH(E$4,Data[#Headers],0))</f>
        <v>40614</v>
      </c>
      <c r="F101" s="22">
        <f>INDEX(Data[],MATCH($A101,Data[Dist],0),MATCH(F$4,Data[#Headers],0))</f>
        <v>35748</v>
      </c>
      <c r="G101" s="22">
        <f>INDEX(Data[],MATCH($A101,Data[Dist],0),MATCH(G$4,Data[#Headers],0))</f>
        <v>187770</v>
      </c>
      <c r="H101" s="22">
        <f>INDEX(Data[],MATCH($A101,Data[Dist],0),MATCH(H$4,Data[#Headers],0))</f>
        <v>2641591</v>
      </c>
      <c r="I101" s="22">
        <f>INDEX(Data[],MATCH($A101,Data[Dist],0),MATCH(I$4,Data[#Headers],0))</f>
        <v>3383089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113948</v>
      </c>
      <c r="D102" s="22">
        <f>INDEX(Data[],MATCH($A102,Data[Dist],0),MATCH(D$4,Data[#Headers],0))</f>
        <v>368867</v>
      </c>
      <c r="E102" s="22">
        <f>INDEX(Data[],MATCH($A102,Data[Dist],0),MATCH(E$4,Data[#Headers],0))</f>
        <v>38795</v>
      </c>
      <c r="F102" s="22">
        <f>INDEX(Data[],MATCH($A102,Data[Dist],0),MATCH(F$4,Data[#Headers],0))</f>
        <v>36925</v>
      </c>
      <c r="G102" s="22">
        <f>INDEX(Data[],MATCH($A102,Data[Dist],0),MATCH(G$4,Data[#Headers],0))</f>
        <v>188337</v>
      </c>
      <c r="H102" s="22">
        <f>INDEX(Data[],MATCH($A102,Data[Dist],0),MATCH(H$4,Data[#Headers],0))</f>
        <v>2792992</v>
      </c>
      <c r="I102" s="22">
        <f>INDEX(Data[],MATCH($A102,Data[Dist],0),MATCH(I$4,Data[#Headers],0))</f>
        <v>3539864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63677</v>
      </c>
      <c r="D103" s="22">
        <f>INDEX(Data[],MATCH($A103,Data[Dist],0),MATCH(D$4,Data[#Headers],0))</f>
        <v>360517</v>
      </c>
      <c r="E103" s="22">
        <f>INDEX(Data[],MATCH($A103,Data[Dist],0),MATCH(E$4,Data[#Headers],0))</f>
        <v>36610</v>
      </c>
      <c r="F103" s="22">
        <f>INDEX(Data[],MATCH($A103,Data[Dist],0),MATCH(F$4,Data[#Headers],0))</f>
        <v>39546</v>
      </c>
      <c r="G103" s="22">
        <f>INDEX(Data[],MATCH($A103,Data[Dist],0),MATCH(G$4,Data[#Headers],0))</f>
        <v>198973</v>
      </c>
      <c r="H103" s="22">
        <f>INDEX(Data[],MATCH($A103,Data[Dist],0),MATCH(H$4,Data[#Headers],0))</f>
        <v>2883029</v>
      </c>
      <c r="I103" s="22">
        <f>INDEX(Data[],MATCH($A103,Data[Dist],0),MATCH(I$4,Data[#Headers],0))</f>
        <v>3582352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107245</v>
      </c>
      <c r="D104" s="22">
        <f>INDEX(Data[],MATCH($A104,Data[Dist],0),MATCH(D$4,Data[#Headers],0))</f>
        <v>295638</v>
      </c>
      <c r="E104" s="22">
        <f>INDEX(Data[],MATCH($A104,Data[Dist],0),MATCH(E$4,Data[#Headers],0))</f>
        <v>35705</v>
      </c>
      <c r="F104" s="22">
        <f>INDEX(Data[],MATCH($A104,Data[Dist],0),MATCH(F$4,Data[#Headers],0))</f>
        <v>28665</v>
      </c>
      <c r="G104" s="22">
        <f>INDEX(Data[],MATCH($A104,Data[Dist],0),MATCH(G$4,Data[#Headers],0))</f>
        <v>160507</v>
      </c>
      <c r="H104" s="22">
        <f>INDEX(Data[],MATCH($A104,Data[Dist],0),MATCH(H$4,Data[#Headers],0))</f>
        <v>2486857</v>
      </c>
      <c r="I104" s="22">
        <f>INDEX(Data[],MATCH($A104,Data[Dist],0),MATCH(I$4,Data[#Headers],0))</f>
        <v>3114617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73731</v>
      </c>
      <c r="D105" s="22">
        <f>INDEX(Data[],MATCH($A105,Data[Dist],0),MATCH(D$4,Data[#Headers],0))</f>
        <v>222868</v>
      </c>
      <c r="E105" s="22">
        <f>INDEX(Data[],MATCH($A105,Data[Dist],0),MATCH(E$4,Data[#Headers],0))</f>
        <v>25740</v>
      </c>
      <c r="F105" s="22">
        <f>INDEX(Data[],MATCH($A105,Data[Dist],0),MATCH(F$4,Data[#Headers],0))</f>
        <v>21151</v>
      </c>
      <c r="G105" s="22">
        <f>INDEX(Data[],MATCH($A105,Data[Dist],0),MATCH(G$4,Data[#Headers],0))</f>
        <v>111140</v>
      </c>
      <c r="H105" s="22">
        <f>INDEX(Data[],MATCH($A105,Data[Dist],0),MATCH(H$4,Data[#Headers],0))</f>
        <v>1003356</v>
      </c>
      <c r="I105" s="22">
        <f>INDEX(Data[],MATCH($A105,Data[Dist],0),MATCH(I$4,Data[#Headers],0))</f>
        <v>1457986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77083</v>
      </c>
      <c r="D106" s="22">
        <f>INDEX(Data[],MATCH($A106,Data[Dist],0),MATCH(D$4,Data[#Headers],0))</f>
        <v>269713</v>
      </c>
      <c r="E106" s="22">
        <f>INDEX(Data[],MATCH($A106,Data[Dist],0),MATCH(E$4,Data[#Headers],0))</f>
        <v>33132</v>
      </c>
      <c r="F106" s="22">
        <f>INDEX(Data[],MATCH($A106,Data[Dist],0),MATCH(F$4,Data[#Headers],0))</f>
        <v>29436</v>
      </c>
      <c r="G106" s="22">
        <f>INDEX(Data[],MATCH($A106,Data[Dist],0),MATCH(G$4,Data[#Headers],0))</f>
        <v>139426</v>
      </c>
      <c r="H106" s="22">
        <f>INDEX(Data[],MATCH($A106,Data[Dist],0),MATCH(H$4,Data[#Headers],0))</f>
        <v>1624058</v>
      </c>
      <c r="I106" s="22">
        <f>INDEX(Data[],MATCH($A106,Data[Dist],0),MATCH(I$4,Data[#Headers],0))</f>
        <v>2172848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107245</v>
      </c>
      <c r="D107" s="22">
        <f>INDEX(Data[],MATCH($A107,Data[Dist],0),MATCH(D$4,Data[#Headers],0))</f>
        <v>263436</v>
      </c>
      <c r="E107" s="22">
        <f>INDEX(Data[],MATCH($A107,Data[Dist],0),MATCH(E$4,Data[#Headers],0))</f>
        <v>31559</v>
      </c>
      <c r="F107" s="22">
        <f>INDEX(Data[],MATCH($A107,Data[Dist],0),MATCH(F$4,Data[#Headers],0))</f>
        <v>29398</v>
      </c>
      <c r="G107" s="22">
        <f>INDEX(Data[],MATCH($A107,Data[Dist],0),MATCH(G$4,Data[#Headers],0))</f>
        <v>135171</v>
      </c>
      <c r="H107" s="22">
        <f>INDEX(Data[],MATCH($A107,Data[Dist],0),MATCH(H$4,Data[#Headers],0))</f>
        <v>1804234</v>
      </c>
      <c r="I107" s="22">
        <f>INDEX(Data[],MATCH($A107,Data[Dist],0),MATCH(I$4,Data[#Headers],0))</f>
        <v>2371043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124002</v>
      </c>
      <c r="D108" s="22">
        <f>INDEX(Data[],MATCH($A108,Data[Dist],0),MATCH(D$4,Data[#Headers],0))</f>
        <v>382429</v>
      </c>
      <c r="E108" s="22">
        <f>INDEX(Data[],MATCH($A108,Data[Dist],0),MATCH(E$4,Data[#Headers],0))</f>
        <v>44209</v>
      </c>
      <c r="F108" s="22">
        <f>INDEX(Data[],MATCH($A108,Data[Dist],0),MATCH(F$4,Data[#Headers],0))</f>
        <v>44539</v>
      </c>
      <c r="G108" s="22">
        <f>INDEX(Data[],MATCH($A108,Data[Dist],0),MATCH(G$4,Data[#Headers],0))</f>
        <v>204953</v>
      </c>
      <c r="H108" s="22">
        <f>INDEX(Data[],MATCH($A108,Data[Dist],0),MATCH(H$4,Data[#Headers],0))</f>
        <v>3396979</v>
      </c>
      <c r="I108" s="22">
        <f>INDEX(Data[],MATCH($A108,Data[Dist],0),MATCH(I$4,Data[#Headers],0))</f>
        <v>4197111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174274</v>
      </c>
      <c r="D109" s="22">
        <f>INDEX(Data[],MATCH($A109,Data[Dist],0),MATCH(D$4,Data[#Headers],0))</f>
        <v>405990</v>
      </c>
      <c r="E109" s="22">
        <f>INDEX(Data[],MATCH($A109,Data[Dist],0),MATCH(E$4,Data[#Headers],0))</f>
        <v>48657</v>
      </c>
      <c r="F109" s="22">
        <f>INDEX(Data[],MATCH($A109,Data[Dist],0),MATCH(F$4,Data[#Headers],0))</f>
        <v>47469</v>
      </c>
      <c r="G109" s="22">
        <f>INDEX(Data[],MATCH($A109,Data[Dist],0),MATCH(G$4,Data[#Headers],0))</f>
        <v>228289</v>
      </c>
      <c r="H109" s="22">
        <f>INDEX(Data[],MATCH($A109,Data[Dist],0),MATCH(H$4,Data[#Headers],0))</f>
        <v>2675900</v>
      </c>
      <c r="I109" s="22">
        <f>INDEX(Data[],MATCH($A109,Data[Dist],0),MATCH(I$4,Data[#Headers],0))</f>
        <v>3580579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103894</v>
      </c>
      <c r="D110" s="22">
        <f>INDEX(Data[],MATCH($A110,Data[Dist],0),MATCH(D$4,Data[#Headers],0))</f>
        <v>308731</v>
      </c>
      <c r="E110" s="22">
        <f>INDEX(Data[],MATCH($A110,Data[Dist],0),MATCH(E$4,Data[#Headers],0))</f>
        <v>33374</v>
      </c>
      <c r="F110" s="22">
        <f>INDEX(Data[],MATCH($A110,Data[Dist],0),MATCH(F$4,Data[#Headers],0))</f>
        <v>32550</v>
      </c>
      <c r="G110" s="22">
        <f>INDEX(Data[],MATCH($A110,Data[Dist],0),MATCH(G$4,Data[#Headers],0))</f>
        <v>147993</v>
      </c>
      <c r="H110" s="22">
        <f>INDEX(Data[],MATCH($A110,Data[Dist],0),MATCH(H$4,Data[#Headers],0))</f>
        <v>1968602</v>
      </c>
      <c r="I110" s="22">
        <f>INDEX(Data[],MATCH($A110,Data[Dist],0),MATCH(I$4,Data[#Headers],0))</f>
        <v>2595144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40217</v>
      </c>
      <c r="D111" s="22">
        <f>INDEX(Data[],MATCH($A111,Data[Dist],0),MATCH(D$4,Data[#Headers],0))</f>
        <v>128745</v>
      </c>
      <c r="E111" s="22">
        <f>INDEX(Data[],MATCH($A111,Data[Dist],0),MATCH(E$4,Data[#Headers],0))</f>
        <v>18420</v>
      </c>
      <c r="F111" s="22">
        <f>INDEX(Data[],MATCH($A111,Data[Dist],0),MATCH(F$4,Data[#Headers],0))</f>
        <v>12464</v>
      </c>
      <c r="G111" s="22">
        <f>INDEX(Data[],MATCH($A111,Data[Dist],0),MATCH(G$4,Data[#Headers],0))</f>
        <v>63361</v>
      </c>
      <c r="H111" s="22">
        <f>INDEX(Data[],MATCH($A111,Data[Dist],0),MATCH(H$4,Data[#Headers],0))</f>
        <v>890020</v>
      </c>
      <c r="I111" s="22">
        <f>INDEX(Data[],MATCH($A111,Data[Dist],0),MATCH(I$4,Data[#Headers],0))</f>
        <v>1153227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211139</v>
      </c>
      <c r="D112" s="22">
        <f>INDEX(Data[],MATCH($A112,Data[Dist],0),MATCH(D$4,Data[#Headers],0))</f>
        <v>799662</v>
      </c>
      <c r="E112" s="22">
        <f>INDEX(Data[],MATCH($A112,Data[Dist],0),MATCH(E$4,Data[#Headers],0))</f>
        <v>101836</v>
      </c>
      <c r="F112" s="22">
        <f>INDEX(Data[],MATCH($A112,Data[Dist],0),MATCH(F$4,Data[#Headers],0))</f>
        <v>89581</v>
      </c>
      <c r="G112" s="22">
        <f>INDEX(Data[],MATCH($A112,Data[Dist],0),MATCH(G$4,Data[#Headers],0))</f>
        <v>445110</v>
      </c>
      <c r="H112" s="22">
        <f>INDEX(Data[],MATCH($A112,Data[Dist],0),MATCH(H$4,Data[#Headers],0))</f>
        <v>6671362</v>
      </c>
      <c r="I112" s="22">
        <f>INDEX(Data[],MATCH($A112,Data[Dist],0),MATCH(I$4,Data[#Headers],0))</f>
        <v>8318690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77083</v>
      </c>
      <c r="D113" s="22">
        <f>INDEX(Data[],MATCH($A113,Data[Dist],0),MATCH(D$4,Data[#Headers],0))</f>
        <v>292612</v>
      </c>
      <c r="E113" s="22">
        <f>INDEX(Data[],MATCH($A113,Data[Dist],0),MATCH(E$4,Data[#Headers],0))</f>
        <v>29493</v>
      </c>
      <c r="F113" s="22">
        <f>INDEX(Data[],MATCH($A113,Data[Dist],0),MATCH(F$4,Data[#Headers],0))</f>
        <v>30825</v>
      </c>
      <c r="G113" s="22">
        <f>INDEX(Data[],MATCH($A113,Data[Dist],0),MATCH(G$4,Data[#Headers],0))</f>
        <v>143047</v>
      </c>
      <c r="H113" s="22">
        <f>INDEX(Data[],MATCH($A113,Data[Dist],0),MATCH(H$4,Data[#Headers],0))</f>
        <v>1743360</v>
      </c>
      <c r="I113" s="22">
        <f>INDEX(Data[],MATCH($A113,Data[Dist],0),MATCH(I$4,Data[#Headers],0))</f>
        <v>2316420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160887</v>
      </c>
      <c r="D114" s="22">
        <f>INDEX(Data[],MATCH($A114,Data[Dist],0),MATCH(D$4,Data[#Headers],0))</f>
        <v>967394</v>
      </c>
      <c r="E114" s="22">
        <f>INDEX(Data[],MATCH($A114,Data[Dist],0),MATCH(E$4,Data[#Headers],0))</f>
        <v>111043</v>
      </c>
      <c r="F114" s="22">
        <f>INDEX(Data[],MATCH($A114,Data[Dist],0),MATCH(F$4,Data[#Headers],0))</f>
        <v>101158</v>
      </c>
      <c r="G114" s="22">
        <f>INDEX(Data[],MATCH($A114,Data[Dist],0),MATCH(G$4,Data[#Headers],0))</f>
        <v>529064</v>
      </c>
      <c r="H114" s="22">
        <f>INDEX(Data[],MATCH($A114,Data[Dist],0),MATCH(H$4,Data[#Headers],0))</f>
        <v>6996653</v>
      </c>
      <c r="I114" s="22">
        <f>INDEX(Data[],MATCH($A114,Data[Dist],0),MATCH(I$4,Data[#Headers],0))</f>
        <v>8866199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241302</v>
      </c>
      <c r="D115" s="22">
        <f>INDEX(Data[],MATCH($A115,Data[Dist],0),MATCH(D$4,Data[#Headers],0))</f>
        <v>672476</v>
      </c>
      <c r="E115" s="22">
        <f>INDEX(Data[],MATCH($A115,Data[Dist],0),MATCH(E$4,Data[#Headers],0))</f>
        <v>75614</v>
      </c>
      <c r="F115" s="22">
        <f>INDEX(Data[],MATCH($A115,Data[Dist],0),MATCH(F$4,Data[#Headers],0))</f>
        <v>78311</v>
      </c>
      <c r="G115" s="22">
        <f>INDEX(Data[],MATCH($A115,Data[Dist],0),MATCH(G$4,Data[#Headers],0))</f>
        <v>357310</v>
      </c>
      <c r="H115" s="22">
        <f>INDEX(Data[],MATCH($A115,Data[Dist],0),MATCH(H$4,Data[#Headers],0))</f>
        <v>4969831</v>
      </c>
      <c r="I115" s="22">
        <f>INDEX(Data[],MATCH($A115,Data[Dist],0),MATCH(I$4,Data[#Headers],0))</f>
        <v>6394844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660229</v>
      </c>
      <c r="D116" s="22">
        <f>INDEX(Data[],MATCH($A116,Data[Dist],0),MATCH(D$4,Data[#Headers],0))</f>
        <v>2249414</v>
      </c>
      <c r="E116" s="22">
        <f>INDEX(Data[],MATCH($A116,Data[Dist],0),MATCH(E$4,Data[#Headers],0))</f>
        <v>296910</v>
      </c>
      <c r="F116" s="22">
        <f>INDEX(Data[],MATCH($A116,Data[Dist],0),MATCH(F$4,Data[#Headers],0))</f>
        <v>261758</v>
      </c>
      <c r="G116" s="22">
        <f>INDEX(Data[],MATCH($A116,Data[Dist],0),MATCH(G$4,Data[#Headers],0))</f>
        <v>1240765</v>
      </c>
      <c r="H116" s="22">
        <f>INDEX(Data[],MATCH($A116,Data[Dist],0),MATCH(H$4,Data[#Headers],0))</f>
        <v>21068318</v>
      </c>
      <c r="I116" s="22">
        <f>INDEX(Data[],MATCH($A116,Data[Dist],0),MATCH(I$4,Data[#Headers],0))</f>
        <v>25777394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207788</v>
      </c>
      <c r="D117" s="22">
        <f>INDEX(Data[],MATCH($A117,Data[Dist],0),MATCH(D$4,Data[#Headers],0))</f>
        <v>1186976</v>
      </c>
      <c r="E117" s="22">
        <f>INDEX(Data[],MATCH($A117,Data[Dist],0),MATCH(E$4,Data[#Headers],0))</f>
        <v>148380</v>
      </c>
      <c r="F117" s="22">
        <f>INDEX(Data[],MATCH($A117,Data[Dist],0),MATCH(F$4,Data[#Headers],0))</f>
        <v>133032</v>
      </c>
      <c r="G117" s="22">
        <f>INDEX(Data[],MATCH($A117,Data[Dist],0),MATCH(G$4,Data[#Headers],0))</f>
        <v>699885</v>
      </c>
      <c r="H117" s="22">
        <f>INDEX(Data[],MATCH($A117,Data[Dist],0),MATCH(H$4,Data[#Headers],0))</f>
        <v>10920164</v>
      </c>
      <c r="I117" s="22">
        <f>INDEX(Data[],MATCH($A117,Data[Dist],0),MATCH(I$4,Data[#Headers],0))</f>
        <v>13296225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93840</v>
      </c>
      <c r="D118" s="22">
        <f>INDEX(Data[],MATCH($A118,Data[Dist],0),MATCH(D$4,Data[#Headers],0))</f>
        <v>262689</v>
      </c>
      <c r="E118" s="22">
        <f>INDEX(Data[],MATCH($A118,Data[Dist],0),MATCH(E$4,Data[#Headers],0))</f>
        <v>33819</v>
      </c>
      <c r="F118" s="22">
        <f>INDEX(Data[],MATCH($A118,Data[Dist],0),MATCH(F$4,Data[#Headers],0))</f>
        <v>25524</v>
      </c>
      <c r="G118" s="22">
        <f>INDEX(Data[],MATCH($A118,Data[Dist],0),MATCH(G$4,Data[#Headers],0))</f>
        <v>147578</v>
      </c>
      <c r="H118" s="22">
        <f>INDEX(Data[],MATCH($A118,Data[Dist],0),MATCH(H$4,Data[#Headers],0))</f>
        <v>2068495</v>
      </c>
      <c r="I118" s="22">
        <f>INDEX(Data[],MATCH($A118,Data[Dist],0),MATCH(I$4,Data[#Headers],0))</f>
        <v>2631945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107245</v>
      </c>
      <c r="D119" s="22">
        <f>INDEX(Data[],MATCH($A119,Data[Dist],0),MATCH(D$4,Data[#Headers],0))</f>
        <v>278783</v>
      </c>
      <c r="E119" s="22">
        <f>INDEX(Data[],MATCH($A119,Data[Dist],0),MATCH(E$4,Data[#Headers],0))</f>
        <v>30250</v>
      </c>
      <c r="F119" s="22">
        <f>INDEX(Data[],MATCH($A119,Data[Dist],0),MATCH(F$4,Data[#Headers],0))</f>
        <v>28975</v>
      </c>
      <c r="G119" s="22">
        <f>INDEX(Data[],MATCH($A119,Data[Dist],0),MATCH(G$4,Data[#Headers],0))</f>
        <v>144966</v>
      </c>
      <c r="H119" s="22">
        <f>INDEX(Data[],MATCH($A119,Data[Dist],0),MATCH(H$4,Data[#Headers],0))</f>
        <v>1590749</v>
      </c>
      <c r="I119" s="22">
        <f>INDEX(Data[],MATCH($A119,Data[Dist],0),MATCH(I$4,Data[#Headers],0))</f>
        <v>2180968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211139</v>
      </c>
      <c r="D120" s="22">
        <f>INDEX(Data[],MATCH($A120,Data[Dist],0),MATCH(D$4,Data[#Headers],0))</f>
        <v>543012</v>
      </c>
      <c r="E120" s="22">
        <f>INDEX(Data[],MATCH($A120,Data[Dist],0),MATCH(E$4,Data[#Headers],0))</f>
        <v>62479</v>
      </c>
      <c r="F120" s="22">
        <f>INDEX(Data[],MATCH($A120,Data[Dist],0),MATCH(F$4,Data[#Headers],0))</f>
        <v>60274</v>
      </c>
      <c r="G120" s="22">
        <f>INDEX(Data[],MATCH($A120,Data[Dist],0),MATCH(G$4,Data[#Headers],0))</f>
        <v>288006</v>
      </c>
      <c r="H120" s="22">
        <f>INDEX(Data[],MATCH($A120,Data[Dist],0),MATCH(H$4,Data[#Headers],0))</f>
        <v>2765517</v>
      </c>
      <c r="I120" s="22">
        <f>INDEX(Data[],MATCH($A120,Data[Dist],0),MATCH(I$4,Data[#Headers],0))</f>
        <v>3930427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63677</v>
      </c>
      <c r="D121" s="22">
        <f>INDEX(Data[],MATCH($A121,Data[Dist],0),MATCH(D$4,Data[#Headers],0))</f>
        <v>274849</v>
      </c>
      <c r="E121" s="22">
        <f>INDEX(Data[],MATCH($A121,Data[Dist],0),MATCH(E$4,Data[#Headers],0))</f>
        <v>31093</v>
      </c>
      <c r="F121" s="22">
        <f>INDEX(Data[],MATCH($A121,Data[Dist],0),MATCH(F$4,Data[#Headers],0))</f>
        <v>30551</v>
      </c>
      <c r="G121" s="22">
        <f>INDEX(Data[],MATCH($A121,Data[Dist],0),MATCH(G$4,Data[#Headers],0))</f>
        <v>148381</v>
      </c>
      <c r="H121" s="22">
        <f>INDEX(Data[],MATCH($A121,Data[Dist],0),MATCH(H$4,Data[#Headers],0))</f>
        <v>1493924</v>
      </c>
      <c r="I121" s="22">
        <f>INDEX(Data[],MATCH($A121,Data[Dist],0),MATCH(I$4,Data[#Headers],0))</f>
        <v>2042475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197733</v>
      </c>
      <c r="D122" s="22">
        <f>INDEX(Data[],MATCH($A122,Data[Dist],0),MATCH(D$4,Data[#Headers],0))</f>
        <v>818678</v>
      </c>
      <c r="E122" s="22">
        <f>INDEX(Data[],MATCH($A122,Data[Dist],0),MATCH(E$4,Data[#Headers],0))</f>
        <v>79007</v>
      </c>
      <c r="F122" s="22">
        <f>INDEX(Data[],MATCH($A122,Data[Dist],0),MATCH(F$4,Data[#Headers],0))</f>
        <v>90754</v>
      </c>
      <c r="G122" s="22">
        <f>INDEX(Data[],MATCH($A122,Data[Dist],0),MATCH(G$4,Data[#Headers],0))</f>
        <v>486714</v>
      </c>
      <c r="H122" s="22">
        <f>INDEX(Data[],MATCH($A122,Data[Dist],0),MATCH(H$4,Data[#Headers],0))</f>
        <v>6438019</v>
      </c>
      <c r="I122" s="22">
        <f>INDEX(Data[],MATCH($A122,Data[Dist],0),MATCH(I$4,Data[#Headers],0))</f>
        <v>8110905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53623</v>
      </c>
      <c r="D123" s="22">
        <f>INDEX(Data[],MATCH($A123,Data[Dist],0),MATCH(D$4,Data[#Headers],0))</f>
        <v>95558</v>
      </c>
      <c r="E123" s="22">
        <f>INDEX(Data[],MATCH($A123,Data[Dist],0),MATCH(E$4,Data[#Headers],0))</f>
        <v>7729</v>
      </c>
      <c r="F123" s="22">
        <f>INDEX(Data[],MATCH($A123,Data[Dist],0),MATCH(F$4,Data[#Headers],0))</f>
        <v>11283</v>
      </c>
      <c r="G123" s="22">
        <f>INDEX(Data[],MATCH($A123,Data[Dist],0),MATCH(G$4,Data[#Headers],0))</f>
        <v>47669</v>
      </c>
      <c r="H123" s="22">
        <f>INDEX(Data[],MATCH($A123,Data[Dist],0),MATCH(H$4,Data[#Headers],0))</f>
        <v>535091</v>
      </c>
      <c r="I123" s="22">
        <f>INDEX(Data[],MATCH($A123,Data[Dist],0),MATCH(I$4,Data[#Headers],0))</f>
        <v>750953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113948</v>
      </c>
      <c r="D124" s="22">
        <f>INDEX(Data[],MATCH($A124,Data[Dist],0),MATCH(D$4,Data[#Headers],0))</f>
        <v>368168</v>
      </c>
      <c r="E124" s="22">
        <f>INDEX(Data[],MATCH($A124,Data[Dist],0),MATCH(E$4,Data[#Headers],0))</f>
        <v>32387</v>
      </c>
      <c r="F124" s="22">
        <f>INDEX(Data[],MATCH($A124,Data[Dist],0),MATCH(F$4,Data[#Headers],0))</f>
        <v>37935</v>
      </c>
      <c r="G124" s="22">
        <f>INDEX(Data[],MATCH($A124,Data[Dist],0),MATCH(G$4,Data[#Headers],0))</f>
        <v>190905</v>
      </c>
      <c r="H124" s="22">
        <f>INDEX(Data[],MATCH($A124,Data[Dist],0),MATCH(H$4,Data[#Headers],0))</f>
        <v>2496949</v>
      </c>
      <c r="I124" s="22">
        <f>INDEX(Data[],MATCH($A124,Data[Dist],0),MATCH(I$4,Data[#Headers],0))</f>
        <v>3240292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294925</v>
      </c>
      <c r="D125" s="22">
        <f>INDEX(Data[],MATCH($A125,Data[Dist],0),MATCH(D$4,Data[#Headers],0))</f>
        <v>1099651</v>
      </c>
      <c r="E125" s="22">
        <f>INDEX(Data[],MATCH($A125,Data[Dist],0),MATCH(E$4,Data[#Headers],0))</f>
        <v>136135</v>
      </c>
      <c r="F125" s="22">
        <f>INDEX(Data[],MATCH($A125,Data[Dist],0),MATCH(F$4,Data[#Headers],0))</f>
        <v>118997</v>
      </c>
      <c r="G125" s="22">
        <f>INDEX(Data[],MATCH($A125,Data[Dist],0),MATCH(G$4,Data[#Headers],0))</f>
        <v>646144</v>
      </c>
      <c r="H125" s="22">
        <f>INDEX(Data[],MATCH($A125,Data[Dist],0),MATCH(H$4,Data[#Headers],0))</f>
        <v>9627297</v>
      </c>
      <c r="I125" s="22">
        <f>INDEX(Data[],MATCH($A125,Data[Dist],0),MATCH(I$4,Data[#Headers],0))</f>
        <v>11923149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83785</v>
      </c>
      <c r="D126" s="22">
        <f>INDEX(Data[],MATCH($A126,Data[Dist],0),MATCH(D$4,Data[#Headers],0))</f>
        <v>175715</v>
      </c>
      <c r="E126" s="22">
        <f>INDEX(Data[],MATCH($A126,Data[Dist],0),MATCH(E$4,Data[#Headers],0))</f>
        <v>19021</v>
      </c>
      <c r="F126" s="22">
        <f>INDEX(Data[],MATCH($A126,Data[Dist],0),MATCH(F$4,Data[#Headers],0))</f>
        <v>18595</v>
      </c>
      <c r="G126" s="22">
        <f>INDEX(Data[],MATCH($A126,Data[Dist],0),MATCH(G$4,Data[#Headers],0))</f>
        <v>90767</v>
      </c>
      <c r="H126" s="22">
        <f>INDEX(Data[],MATCH($A126,Data[Dist],0),MATCH(H$4,Data[#Headers],0))</f>
        <v>1072507</v>
      </c>
      <c r="I126" s="22">
        <f>INDEX(Data[],MATCH($A126,Data[Dist],0),MATCH(I$4,Data[#Headers],0))</f>
        <v>1460390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43568</v>
      </c>
      <c r="D127" s="22">
        <f>INDEX(Data[],MATCH($A127,Data[Dist],0),MATCH(D$4,Data[#Headers],0))</f>
        <v>240006</v>
      </c>
      <c r="E127" s="22">
        <f>INDEX(Data[],MATCH($A127,Data[Dist],0),MATCH(E$4,Data[#Headers],0))</f>
        <v>27850</v>
      </c>
      <c r="F127" s="22">
        <f>INDEX(Data[],MATCH($A127,Data[Dist],0),MATCH(F$4,Data[#Headers],0))</f>
        <v>22729</v>
      </c>
      <c r="G127" s="22">
        <f>INDEX(Data[],MATCH($A127,Data[Dist],0),MATCH(G$4,Data[#Headers],0))</f>
        <v>127335</v>
      </c>
      <c r="H127" s="22">
        <f>INDEX(Data[],MATCH($A127,Data[Dist],0),MATCH(H$4,Data[#Headers],0))</f>
        <v>1233160</v>
      </c>
      <c r="I127" s="22">
        <f>INDEX(Data[],MATCH($A127,Data[Dist],0),MATCH(I$4,Data[#Headers],0))</f>
        <v>1694648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73731</v>
      </c>
      <c r="D128" s="22">
        <f>INDEX(Data[],MATCH($A128,Data[Dist],0),MATCH(D$4,Data[#Headers],0))</f>
        <v>406487</v>
      </c>
      <c r="E128" s="22">
        <f>INDEX(Data[],MATCH($A128,Data[Dist],0),MATCH(E$4,Data[#Headers],0))</f>
        <v>45755</v>
      </c>
      <c r="F128" s="22">
        <f>INDEX(Data[],MATCH($A128,Data[Dist],0),MATCH(F$4,Data[#Headers],0))</f>
        <v>46558</v>
      </c>
      <c r="G128" s="22">
        <f>INDEX(Data[],MATCH($A128,Data[Dist],0),MATCH(G$4,Data[#Headers],0))</f>
        <v>214490</v>
      </c>
      <c r="H128" s="22">
        <f>INDEX(Data[],MATCH($A128,Data[Dist],0),MATCH(H$4,Data[#Headers],0))</f>
        <v>3019693</v>
      </c>
      <c r="I128" s="22">
        <f>INDEX(Data[],MATCH($A128,Data[Dist],0),MATCH(I$4,Data[#Headers],0))</f>
        <v>3806714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63677</v>
      </c>
      <c r="D129" s="22">
        <f>INDEX(Data[],MATCH($A129,Data[Dist],0),MATCH(D$4,Data[#Headers],0))</f>
        <v>193132</v>
      </c>
      <c r="E129" s="22">
        <f>INDEX(Data[],MATCH($A129,Data[Dist],0),MATCH(E$4,Data[#Headers],0))</f>
        <v>22929</v>
      </c>
      <c r="F129" s="22">
        <f>INDEX(Data[],MATCH($A129,Data[Dist],0),MATCH(F$4,Data[#Headers],0))</f>
        <v>22852</v>
      </c>
      <c r="G129" s="22">
        <f>INDEX(Data[],MATCH($A129,Data[Dist],0),MATCH(G$4,Data[#Headers],0))</f>
        <v>92875</v>
      </c>
      <c r="H129" s="22">
        <f>INDEX(Data[],MATCH($A129,Data[Dist],0),MATCH(H$4,Data[#Headers],0))</f>
        <v>1019855</v>
      </c>
      <c r="I129" s="22">
        <f>INDEX(Data[],MATCH($A129,Data[Dist],0),MATCH(I$4,Data[#Headers],0))</f>
        <v>1415320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308330</v>
      </c>
      <c r="D130" s="22">
        <f>INDEX(Data[],MATCH($A130,Data[Dist],0),MATCH(D$4,Data[#Headers],0))</f>
        <v>912225</v>
      </c>
      <c r="E130" s="22">
        <f>INDEX(Data[],MATCH($A130,Data[Dist],0),MATCH(E$4,Data[#Headers],0))</f>
        <v>111036</v>
      </c>
      <c r="F130" s="22">
        <f>INDEX(Data[],MATCH($A130,Data[Dist],0),MATCH(F$4,Data[#Headers],0))</f>
        <v>99785</v>
      </c>
      <c r="G130" s="22">
        <f>INDEX(Data[],MATCH($A130,Data[Dist],0),MATCH(G$4,Data[#Headers],0))</f>
        <v>521919</v>
      </c>
      <c r="H130" s="22">
        <f>INDEX(Data[],MATCH($A130,Data[Dist],0),MATCH(H$4,Data[#Headers],0))</f>
        <v>7670705</v>
      </c>
      <c r="I130" s="22">
        <f>INDEX(Data[],MATCH($A130,Data[Dist],0),MATCH(I$4,Data[#Headers],0))</f>
        <v>9624000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80434</v>
      </c>
      <c r="D131" s="22">
        <f>INDEX(Data[],MATCH($A131,Data[Dist],0),MATCH(D$4,Data[#Headers],0))</f>
        <v>290866</v>
      </c>
      <c r="E131" s="22">
        <f>INDEX(Data[],MATCH($A131,Data[Dist],0),MATCH(E$4,Data[#Headers],0))</f>
        <v>30505</v>
      </c>
      <c r="F131" s="22">
        <f>INDEX(Data[],MATCH($A131,Data[Dist],0),MATCH(F$4,Data[#Headers],0))</f>
        <v>30237</v>
      </c>
      <c r="G131" s="22">
        <f>INDEX(Data[],MATCH($A131,Data[Dist],0),MATCH(G$4,Data[#Headers],0))</f>
        <v>167001</v>
      </c>
      <c r="H131" s="22">
        <f>INDEX(Data[],MATCH($A131,Data[Dist],0),MATCH(H$4,Data[#Headers],0))</f>
        <v>2277082</v>
      </c>
      <c r="I131" s="22">
        <f>INDEX(Data[],MATCH($A131,Data[Dist],0),MATCH(I$4,Data[#Headers],0))</f>
        <v>2876125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164219</v>
      </c>
      <c r="D132" s="22">
        <f>INDEX(Data[],MATCH($A132,Data[Dist],0),MATCH(D$4,Data[#Headers],0))</f>
        <v>413919</v>
      </c>
      <c r="E132" s="22">
        <f>INDEX(Data[],MATCH($A132,Data[Dist],0),MATCH(E$4,Data[#Headers],0))</f>
        <v>39926</v>
      </c>
      <c r="F132" s="22">
        <f>INDEX(Data[],MATCH($A132,Data[Dist],0),MATCH(F$4,Data[#Headers],0))</f>
        <v>44276</v>
      </c>
      <c r="G132" s="22">
        <f>INDEX(Data[],MATCH($A132,Data[Dist],0),MATCH(G$4,Data[#Headers],0))</f>
        <v>213596</v>
      </c>
      <c r="H132" s="22">
        <f>INDEX(Data[],MATCH($A132,Data[Dist],0),MATCH(H$4,Data[#Headers],0))</f>
        <v>3212384</v>
      </c>
      <c r="I132" s="22">
        <f>INDEX(Data[],MATCH($A132,Data[Dist],0),MATCH(I$4,Data[#Headers],0))</f>
        <v>4088320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87137</v>
      </c>
      <c r="D133" s="22">
        <f>INDEX(Data[],MATCH($A133,Data[Dist],0),MATCH(D$4,Data[#Headers],0))</f>
        <v>278939</v>
      </c>
      <c r="E133" s="22">
        <f>INDEX(Data[],MATCH($A133,Data[Dist],0),MATCH(E$4,Data[#Headers],0))</f>
        <v>33941</v>
      </c>
      <c r="F133" s="22">
        <f>INDEX(Data[],MATCH($A133,Data[Dist],0),MATCH(F$4,Data[#Headers],0))</f>
        <v>28456</v>
      </c>
      <c r="G133" s="22">
        <f>INDEX(Data[],MATCH($A133,Data[Dist],0),MATCH(G$4,Data[#Headers],0))</f>
        <v>149771</v>
      </c>
      <c r="H133" s="22">
        <f>INDEX(Data[],MATCH($A133,Data[Dist],0),MATCH(H$4,Data[#Headers],0))</f>
        <v>2175222</v>
      </c>
      <c r="I133" s="22">
        <f>INDEX(Data[],MATCH($A133,Data[Dist],0),MATCH(I$4,Data[#Headers],0))</f>
        <v>2753466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124002</v>
      </c>
      <c r="D134" s="22">
        <f>INDEX(Data[],MATCH($A134,Data[Dist],0),MATCH(D$4,Data[#Headers],0))</f>
        <v>333951</v>
      </c>
      <c r="E134" s="22">
        <f>INDEX(Data[],MATCH($A134,Data[Dist],0),MATCH(E$4,Data[#Headers],0))</f>
        <v>33935</v>
      </c>
      <c r="F134" s="22">
        <f>INDEX(Data[],MATCH($A134,Data[Dist],0),MATCH(F$4,Data[#Headers],0))</f>
        <v>37795</v>
      </c>
      <c r="G134" s="22">
        <f>INDEX(Data[],MATCH($A134,Data[Dist],0),MATCH(G$4,Data[#Headers],0))</f>
        <v>186591</v>
      </c>
      <c r="H134" s="22">
        <f>INDEX(Data[],MATCH($A134,Data[Dist],0),MATCH(H$4,Data[#Headers],0))</f>
        <v>1786721</v>
      </c>
      <c r="I134" s="22">
        <f>INDEX(Data[],MATCH($A134,Data[Dist],0),MATCH(I$4,Data[#Headers],0))</f>
        <v>2502995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97191</v>
      </c>
      <c r="D135" s="22">
        <f>INDEX(Data[],MATCH($A135,Data[Dist],0),MATCH(D$4,Data[#Headers],0))</f>
        <v>201959</v>
      </c>
      <c r="E135" s="22">
        <f>INDEX(Data[],MATCH($A135,Data[Dist],0),MATCH(E$4,Data[#Headers],0))</f>
        <v>21170</v>
      </c>
      <c r="F135" s="22">
        <f>INDEX(Data[],MATCH($A135,Data[Dist],0),MATCH(F$4,Data[#Headers],0))</f>
        <v>20840</v>
      </c>
      <c r="G135" s="22">
        <f>INDEX(Data[],MATCH($A135,Data[Dist],0),MATCH(G$4,Data[#Headers],0))</f>
        <v>108953</v>
      </c>
      <c r="H135" s="22">
        <f>INDEX(Data[],MATCH($A135,Data[Dist],0),MATCH(H$4,Data[#Headers],0))</f>
        <v>1449269</v>
      </c>
      <c r="I135" s="22">
        <f>INDEX(Data[],MATCH($A135,Data[Dist],0),MATCH(I$4,Data[#Headers],0))</f>
        <v>1899382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46920</v>
      </c>
      <c r="D136" s="22">
        <f>INDEX(Data[],MATCH($A136,Data[Dist],0),MATCH(D$4,Data[#Headers],0))</f>
        <v>138154</v>
      </c>
      <c r="E136" s="22">
        <f>INDEX(Data[],MATCH($A136,Data[Dist],0),MATCH(E$4,Data[#Headers],0))</f>
        <v>16114</v>
      </c>
      <c r="F136" s="22">
        <f>INDEX(Data[],MATCH($A136,Data[Dist],0),MATCH(F$4,Data[#Headers],0))</f>
        <v>14248</v>
      </c>
      <c r="G136" s="22">
        <f>INDEX(Data[],MATCH($A136,Data[Dist],0),MATCH(G$4,Data[#Headers],0))</f>
        <v>75968</v>
      </c>
      <c r="H136" s="22">
        <f>INDEX(Data[],MATCH($A136,Data[Dist],0),MATCH(H$4,Data[#Headers],0))</f>
        <v>790951</v>
      </c>
      <c r="I136" s="22">
        <f>INDEX(Data[],MATCH($A136,Data[Dist],0),MATCH(I$4,Data[#Headers],0))</f>
        <v>1082355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167571</v>
      </c>
      <c r="D137" s="22">
        <f>INDEX(Data[],MATCH($A137,Data[Dist],0),MATCH(D$4,Data[#Headers],0))</f>
        <v>725809</v>
      </c>
      <c r="E137" s="22">
        <f>INDEX(Data[],MATCH($A137,Data[Dist],0),MATCH(E$4,Data[#Headers],0))</f>
        <v>93592</v>
      </c>
      <c r="F137" s="22">
        <f>INDEX(Data[],MATCH($A137,Data[Dist],0),MATCH(F$4,Data[#Headers],0))</f>
        <v>78613</v>
      </c>
      <c r="G137" s="22">
        <f>INDEX(Data[],MATCH($A137,Data[Dist],0),MATCH(G$4,Data[#Headers],0))</f>
        <v>391865</v>
      </c>
      <c r="H137" s="22">
        <f>INDEX(Data[],MATCH($A137,Data[Dist],0),MATCH(H$4,Data[#Headers],0))</f>
        <v>6506471</v>
      </c>
      <c r="I137" s="22">
        <f>INDEX(Data[],MATCH($A137,Data[Dist],0),MATCH(I$4,Data[#Headers],0))</f>
        <v>7963921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227896</v>
      </c>
      <c r="D138" s="22">
        <f>INDEX(Data[],MATCH($A138,Data[Dist],0),MATCH(D$4,Data[#Headers],0))</f>
        <v>830208</v>
      </c>
      <c r="E138" s="22">
        <f>INDEX(Data[],MATCH($A138,Data[Dist],0),MATCH(E$4,Data[#Headers],0))</f>
        <v>96571</v>
      </c>
      <c r="F138" s="22">
        <f>INDEX(Data[],MATCH($A138,Data[Dist],0),MATCH(F$4,Data[#Headers],0))</f>
        <v>97487</v>
      </c>
      <c r="G138" s="22">
        <f>INDEX(Data[],MATCH($A138,Data[Dist],0),MATCH(G$4,Data[#Headers],0))</f>
        <v>467189</v>
      </c>
      <c r="H138" s="22">
        <f>INDEX(Data[],MATCH($A138,Data[Dist],0),MATCH(H$4,Data[#Headers],0))</f>
        <v>6666960</v>
      </c>
      <c r="I138" s="22">
        <f>INDEX(Data[],MATCH($A138,Data[Dist],0),MATCH(I$4,Data[#Headers],0))</f>
        <v>8386311</v>
      </c>
      <c r="J138" s="23"/>
    </row>
    <row r="139" spans="1:10" x14ac:dyDescent="0.2">
      <c r="A139" s="20" t="str">
        <f>Data!B135</f>
        <v>2834</v>
      </c>
      <c r="B139" s="21" t="str">
        <f>INDEX(Data[],MATCH($A139,Data[Dist],0),MATCH(B$4,Data[#Headers],0))</f>
        <v>Harmony</v>
      </c>
      <c r="C139" s="22">
        <f>INDEX(Data[],MATCH($A139,Data[Dist],0),MATCH(C$4,Data[#Headers],0))</f>
        <v>46920</v>
      </c>
      <c r="D139" s="22">
        <f>INDEX(Data[],MATCH($A139,Data[Dist],0),MATCH(D$4,Data[#Headers],0))</f>
        <v>197654</v>
      </c>
      <c r="E139" s="22">
        <f>INDEX(Data[],MATCH($A139,Data[Dist],0),MATCH(E$4,Data[#Headers],0))</f>
        <v>24123</v>
      </c>
      <c r="F139" s="22">
        <f>INDEX(Data[],MATCH($A139,Data[Dist],0),MATCH(F$4,Data[#Headers],0))</f>
        <v>19095</v>
      </c>
      <c r="G139" s="22">
        <f>INDEX(Data[],MATCH($A139,Data[Dist],0),MATCH(G$4,Data[#Headers],0))</f>
        <v>113067</v>
      </c>
      <c r="H139" s="22">
        <f>INDEX(Data[],MATCH($A139,Data[Dist],0),MATCH(H$4,Data[#Headers],0))</f>
        <v>1877462</v>
      </c>
      <c r="I139" s="22">
        <f>INDEX(Data[],MATCH($A139,Data[Dist],0),MATCH(I$4,Data[#Headers],0))</f>
        <v>2278321</v>
      </c>
      <c r="J139" s="23"/>
    </row>
    <row r="140" spans="1:10" x14ac:dyDescent="0.2">
      <c r="A140" s="20" t="str">
        <f>Data!B136</f>
        <v>2846</v>
      </c>
      <c r="B140" s="21" t="str">
        <f>INDEX(Data[],MATCH($A140,Data[Dist],0),MATCH(B$4,Data[#Headers],0))</f>
        <v>Harris-Lake Park</v>
      </c>
      <c r="C140" s="22">
        <f>INDEX(Data[],MATCH($A140,Data[Dist],0),MATCH(C$4,Data[#Headers],0))</f>
        <v>67028</v>
      </c>
      <c r="D140" s="22">
        <f>INDEX(Data[],MATCH($A140,Data[Dist],0),MATCH(D$4,Data[#Headers],0))</f>
        <v>186371</v>
      </c>
      <c r="E140" s="22">
        <f>INDEX(Data[],MATCH($A140,Data[Dist],0),MATCH(E$4,Data[#Headers],0))</f>
        <v>25218</v>
      </c>
      <c r="F140" s="22">
        <f>INDEX(Data[],MATCH($A140,Data[Dist],0),MATCH(F$4,Data[#Headers],0))</f>
        <v>19433</v>
      </c>
      <c r="G140" s="22">
        <f>INDEX(Data[],MATCH($A140,Data[Dist],0),MATCH(G$4,Data[#Headers],0))</f>
        <v>100203</v>
      </c>
      <c r="H140" s="22">
        <f>INDEX(Data[],MATCH($A140,Data[Dist],0),MATCH(H$4,Data[#Headers],0))</f>
        <v>665099</v>
      </c>
      <c r="I140" s="22">
        <f>INDEX(Data[],MATCH($A140,Data[Dist],0),MATCH(I$4,Data[#Headers],0))</f>
        <v>1063352</v>
      </c>
      <c r="J140" s="23"/>
    </row>
    <row r="141" spans="1:10" x14ac:dyDescent="0.2">
      <c r="A141" s="20" t="str">
        <f>Data!B137</f>
        <v>2862</v>
      </c>
      <c r="B141" s="21" t="str">
        <f>INDEX(Data[],MATCH($A141,Data[Dist],0),MATCH(B$4,Data[#Headers],0))</f>
        <v>Hartley-Melvin-Sanborn</v>
      </c>
      <c r="C141" s="22">
        <f>INDEX(Data[],MATCH($A141,Data[Dist],0),MATCH(C$4,Data[#Headers],0))</f>
        <v>130705</v>
      </c>
      <c r="D141" s="22">
        <f>INDEX(Data[],MATCH($A141,Data[Dist],0),MATCH(D$4,Data[#Headers],0))</f>
        <v>387884</v>
      </c>
      <c r="E141" s="22">
        <f>INDEX(Data[],MATCH($A141,Data[Dist],0),MATCH(E$4,Data[#Headers],0))</f>
        <v>38938</v>
      </c>
      <c r="F141" s="22">
        <f>INDEX(Data[],MATCH($A141,Data[Dist],0),MATCH(F$4,Data[#Headers],0))</f>
        <v>41827</v>
      </c>
      <c r="G141" s="22">
        <f>INDEX(Data[],MATCH($A141,Data[Dist],0),MATCH(G$4,Data[#Headers],0))</f>
        <v>206117</v>
      </c>
      <c r="H141" s="22">
        <f>INDEX(Data[],MATCH($A141,Data[Dist],0),MATCH(H$4,Data[#Headers],0))</f>
        <v>2367001</v>
      </c>
      <c r="I141" s="22">
        <f>INDEX(Data[],MATCH($A141,Data[Dist],0),MATCH(I$4,Data[#Headers],0))</f>
        <v>3172472</v>
      </c>
      <c r="J141" s="23"/>
    </row>
    <row r="142" spans="1:10" x14ac:dyDescent="0.2">
      <c r="A142" s="20" t="str">
        <f>Data!B138</f>
        <v>2977</v>
      </c>
      <c r="B142" s="21" t="str">
        <f>INDEX(Data[],MATCH($A142,Data[Dist],0),MATCH(B$4,Data[#Headers],0))</f>
        <v>Highland</v>
      </c>
      <c r="C142" s="22">
        <f>INDEX(Data[],MATCH($A142,Data[Dist],0),MATCH(C$4,Data[#Headers],0))</f>
        <v>120651</v>
      </c>
      <c r="D142" s="22">
        <f>INDEX(Data[],MATCH($A142,Data[Dist],0),MATCH(D$4,Data[#Headers],0))</f>
        <v>381859</v>
      </c>
      <c r="E142" s="22">
        <f>INDEX(Data[],MATCH($A142,Data[Dist],0),MATCH(E$4,Data[#Headers],0))</f>
        <v>45020</v>
      </c>
      <c r="F142" s="22">
        <f>INDEX(Data[],MATCH($A142,Data[Dist],0),MATCH(F$4,Data[#Headers],0))</f>
        <v>40338</v>
      </c>
      <c r="G142" s="22">
        <f>INDEX(Data[],MATCH($A142,Data[Dist],0),MATCH(G$4,Data[#Headers],0))</f>
        <v>203434</v>
      </c>
      <c r="H142" s="22">
        <f>INDEX(Data[],MATCH($A142,Data[Dist],0),MATCH(H$4,Data[#Headers],0))</f>
        <v>2508800</v>
      </c>
      <c r="I142" s="22">
        <f>INDEX(Data[],MATCH($A142,Data[Dist],0),MATCH(I$4,Data[#Headers],0))</f>
        <v>3300102</v>
      </c>
      <c r="J142" s="23"/>
    </row>
    <row r="143" spans="1:10" x14ac:dyDescent="0.2">
      <c r="A143" s="20" t="str">
        <f>Data!B139</f>
        <v>2988</v>
      </c>
      <c r="B143" s="21" t="str">
        <f>INDEX(Data[],MATCH($A143,Data[Dist],0),MATCH(B$4,Data[#Headers],0))</f>
        <v>Hinton</v>
      </c>
      <c r="C143" s="22">
        <f>INDEX(Data[],MATCH($A143,Data[Dist],0),MATCH(C$4,Data[#Headers],0))</f>
        <v>103894</v>
      </c>
      <c r="D143" s="22">
        <f>INDEX(Data[],MATCH($A143,Data[Dist],0),MATCH(D$4,Data[#Headers],0))</f>
        <v>321498</v>
      </c>
      <c r="E143" s="22">
        <f>INDEX(Data[],MATCH($A143,Data[Dist],0),MATCH(E$4,Data[#Headers],0))</f>
        <v>38860</v>
      </c>
      <c r="F143" s="22">
        <f>INDEX(Data[],MATCH($A143,Data[Dist],0),MATCH(F$4,Data[#Headers],0))</f>
        <v>36094</v>
      </c>
      <c r="G143" s="22">
        <f>INDEX(Data[],MATCH($A143,Data[Dist],0),MATCH(G$4,Data[#Headers],0))</f>
        <v>173919</v>
      </c>
      <c r="H143" s="22">
        <f>INDEX(Data[],MATCH($A143,Data[Dist],0),MATCH(H$4,Data[#Headers],0))</f>
        <v>2253458</v>
      </c>
      <c r="I143" s="22">
        <f>INDEX(Data[],MATCH($A143,Data[Dist],0),MATCH(I$4,Data[#Headers],0))</f>
        <v>2927723</v>
      </c>
      <c r="J143" s="23"/>
    </row>
    <row r="144" spans="1:10" x14ac:dyDescent="0.2">
      <c r="A144" s="20" t="str">
        <f>Data!B140</f>
        <v>3029</v>
      </c>
      <c r="B144" s="21" t="str">
        <f>INDEX(Data[],MATCH($A144,Data[Dist],0),MATCH(B$4,Data[#Headers],0))</f>
        <v>Howard-Winneshiek</v>
      </c>
      <c r="C144" s="22">
        <f>INDEX(Data[],MATCH($A144,Data[Dist],0),MATCH(C$4,Data[#Headers],0))</f>
        <v>187679</v>
      </c>
      <c r="D144" s="22">
        <f>INDEX(Data[],MATCH($A144,Data[Dist],0),MATCH(D$4,Data[#Headers],0))</f>
        <v>712579</v>
      </c>
      <c r="E144" s="22">
        <f>INDEX(Data[],MATCH($A144,Data[Dist],0),MATCH(E$4,Data[#Headers],0))</f>
        <v>75265</v>
      </c>
      <c r="F144" s="22">
        <f>INDEX(Data[],MATCH($A144,Data[Dist],0),MATCH(F$4,Data[#Headers],0))</f>
        <v>76663</v>
      </c>
      <c r="G144" s="22">
        <f>INDEX(Data[],MATCH($A144,Data[Dist],0),MATCH(G$4,Data[#Headers],0))</f>
        <v>386146</v>
      </c>
      <c r="H144" s="22">
        <f>INDEX(Data[],MATCH($A144,Data[Dist],0),MATCH(H$4,Data[#Headers],0))</f>
        <v>4770846</v>
      </c>
      <c r="I144" s="22">
        <f>INDEX(Data[],MATCH($A144,Data[Dist],0),MATCH(I$4,Data[#Headers],0))</f>
        <v>6209178</v>
      </c>
      <c r="J144" s="23"/>
    </row>
    <row r="145" spans="1:10" x14ac:dyDescent="0.2">
      <c r="A145" s="20" t="str">
        <f>Data!B141</f>
        <v>3033</v>
      </c>
      <c r="B145" s="21" t="str">
        <f>INDEX(Data[],MATCH($A145,Data[Dist],0),MATCH(B$4,Data[#Headers],0))</f>
        <v>Hubbard-Radcliffe</v>
      </c>
      <c r="C145" s="22">
        <f>INDEX(Data[],MATCH($A145,Data[Dist],0),MATCH(C$4,Data[#Headers],0))</f>
        <v>70380</v>
      </c>
      <c r="D145" s="22">
        <f>INDEX(Data[],MATCH($A145,Data[Dist],0),MATCH(D$4,Data[#Headers],0))</f>
        <v>261623</v>
      </c>
      <c r="E145" s="22">
        <f>INDEX(Data[],MATCH($A145,Data[Dist],0),MATCH(E$4,Data[#Headers],0))</f>
        <v>25908</v>
      </c>
      <c r="F145" s="22">
        <f>INDEX(Data[],MATCH($A145,Data[Dist],0),MATCH(F$4,Data[#Headers],0))</f>
        <v>22300</v>
      </c>
      <c r="G145" s="22">
        <f>INDEX(Data[],MATCH($A145,Data[Dist],0),MATCH(G$4,Data[#Headers],0))</f>
        <v>148575</v>
      </c>
      <c r="H145" s="22">
        <f>INDEX(Data[],MATCH($A145,Data[Dist],0),MATCH(H$4,Data[#Headers],0))</f>
        <v>1391926</v>
      </c>
      <c r="I145" s="22">
        <f>INDEX(Data[],MATCH($A145,Data[Dist],0),MATCH(I$4,Data[#Headers],0))</f>
        <v>1920712</v>
      </c>
      <c r="J145" s="23"/>
    </row>
    <row r="146" spans="1:10" x14ac:dyDescent="0.2">
      <c r="A146" s="20" t="str">
        <f>Data!B142</f>
        <v>3042</v>
      </c>
      <c r="B146" s="21" t="str">
        <f>INDEX(Data[],MATCH($A146,Data[Dist],0),MATCH(B$4,Data[#Headers],0))</f>
        <v>Hudson</v>
      </c>
      <c r="C146" s="22">
        <f>INDEX(Data[],MATCH($A146,Data[Dist],0),MATCH(C$4,Data[#Headers],0))</f>
        <v>93840</v>
      </c>
      <c r="D146" s="22">
        <f>INDEX(Data[],MATCH($A146,Data[Dist],0),MATCH(D$4,Data[#Headers],0))</f>
        <v>424296</v>
      </c>
      <c r="E146" s="22">
        <f>INDEX(Data[],MATCH($A146,Data[Dist],0),MATCH(E$4,Data[#Headers],0))</f>
        <v>37404</v>
      </c>
      <c r="F146" s="22">
        <f>INDEX(Data[],MATCH($A146,Data[Dist],0),MATCH(F$4,Data[#Headers],0))</f>
        <v>48026</v>
      </c>
      <c r="G146" s="22">
        <f>INDEX(Data[],MATCH($A146,Data[Dist],0),MATCH(G$4,Data[#Headers],0))</f>
        <v>221041</v>
      </c>
      <c r="H146" s="22">
        <f>INDEX(Data[],MATCH($A146,Data[Dist],0),MATCH(H$4,Data[#Headers],0))</f>
        <v>3560266</v>
      </c>
      <c r="I146" s="22">
        <f>INDEX(Data[],MATCH($A146,Data[Dist],0),MATCH(I$4,Data[#Headers],0))</f>
        <v>4384873</v>
      </c>
      <c r="J146" s="23"/>
    </row>
    <row r="147" spans="1:10" x14ac:dyDescent="0.2">
      <c r="A147" s="20" t="str">
        <f>Data!B143</f>
        <v>3060</v>
      </c>
      <c r="B147" s="21" t="str">
        <f>INDEX(Data[],MATCH($A147,Data[Dist],0),MATCH(B$4,Data[#Headers],0))</f>
        <v>Humboldt</v>
      </c>
      <c r="C147" s="22">
        <f>INDEX(Data[],MATCH($A147,Data[Dist],0),MATCH(C$4,Data[#Headers],0))</f>
        <v>221193</v>
      </c>
      <c r="D147" s="22">
        <f>INDEX(Data[],MATCH($A147,Data[Dist],0),MATCH(D$4,Data[#Headers],0))</f>
        <v>715989</v>
      </c>
      <c r="E147" s="22">
        <f>INDEX(Data[],MATCH($A147,Data[Dist],0),MATCH(E$4,Data[#Headers],0))</f>
        <v>87044</v>
      </c>
      <c r="F147" s="22">
        <f>INDEX(Data[],MATCH($A147,Data[Dist],0),MATCH(F$4,Data[#Headers],0))</f>
        <v>78370</v>
      </c>
      <c r="G147" s="22">
        <f>INDEX(Data[],MATCH($A147,Data[Dist],0),MATCH(G$4,Data[#Headers],0))</f>
        <v>392812</v>
      </c>
      <c r="H147" s="22">
        <f>INDEX(Data[],MATCH($A147,Data[Dist],0),MATCH(H$4,Data[#Headers],0))</f>
        <v>5544676</v>
      </c>
      <c r="I147" s="22">
        <f>INDEX(Data[],MATCH($A147,Data[Dist],0),MATCH(I$4,Data[#Headers],0))</f>
        <v>7040084</v>
      </c>
      <c r="J147" s="23"/>
    </row>
    <row r="148" spans="1:10" x14ac:dyDescent="0.2">
      <c r="A148" s="20" t="str">
        <f>Data!B144</f>
        <v>3105</v>
      </c>
      <c r="B148" s="21" t="str">
        <f>INDEX(Data[],MATCH($A148,Data[Dist],0),MATCH(B$4,Data[#Headers],0))</f>
        <v>Independence</v>
      </c>
      <c r="C148" s="22">
        <f>INDEX(Data[],MATCH($A148,Data[Dist],0),MATCH(C$4,Data[#Headers],0))</f>
        <v>325087</v>
      </c>
      <c r="D148" s="22">
        <f>INDEX(Data[],MATCH($A148,Data[Dist],0),MATCH(D$4,Data[#Headers],0))</f>
        <v>867999</v>
      </c>
      <c r="E148" s="22">
        <f>INDEX(Data[],MATCH($A148,Data[Dist],0),MATCH(E$4,Data[#Headers],0))</f>
        <v>96687</v>
      </c>
      <c r="F148" s="22">
        <f>INDEX(Data[],MATCH($A148,Data[Dist],0),MATCH(F$4,Data[#Headers],0))</f>
        <v>102166</v>
      </c>
      <c r="G148" s="22">
        <f>INDEX(Data[],MATCH($A148,Data[Dist],0),MATCH(G$4,Data[#Headers],0))</f>
        <v>467058</v>
      </c>
      <c r="H148" s="22">
        <f>INDEX(Data[],MATCH($A148,Data[Dist],0),MATCH(H$4,Data[#Headers],0))</f>
        <v>7191687</v>
      </c>
      <c r="I148" s="22">
        <f>INDEX(Data[],MATCH($A148,Data[Dist],0),MATCH(I$4,Data[#Headers],0))</f>
        <v>9050684</v>
      </c>
      <c r="J148" s="23"/>
    </row>
    <row r="149" spans="1:10" x14ac:dyDescent="0.2">
      <c r="A149" s="20" t="str">
        <f>Data!B145</f>
        <v>3114</v>
      </c>
      <c r="B149" s="21" t="str">
        <f>INDEX(Data[],MATCH($A149,Data[Dist],0),MATCH(B$4,Data[#Headers],0))</f>
        <v>Indianola</v>
      </c>
      <c r="C149" s="22">
        <f>INDEX(Data[],MATCH($A149,Data[Dist],0),MATCH(C$4,Data[#Headers],0))</f>
        <v>422278</v>
      </c>
      <c r="D149" s="22">
        <f>INDEX(Data[],MATCH($A149,Data[Dist],0),MATCH(D$4,Data[#Headers],0))</f>
        <v>1841681</v>
      </c>
      <c r="E149" s="22">
        <f>INDEX(Data[],MATCH($A149,Data[Dist],0),MATCH(E$4,Data[#Headers],0))</f>
        <v>209200</v>
      </c>
      <c r="F149" s="22">
        <f>INDEX(Data[],MATCH($A149,Data[Dist],0),MATCH(F$4,Data[#Headers],0))</f>
        <v>218300</v>
      </c>
      <c r="G149" s="22">
        <f>INDEX(Data[],MATCH($A149,Data[Dist],0),MATCH(G$4,Data[#Headers],0))</f>
        <v>1116989</v>
      </c>
      <c r="H149" s="22">
        <f>INDEX(Data[],MATCH($A149,Data[Dist],0),MATCH(H$4,Data[#Headers],0))</f>
        <v>17793770</v>
      </c>
      <c r="I149" s="22">
        <f>INDEX(Data[],MATCH($A149,Data[Dist],0),MATCH(I$4,Data[#Headers],0))</f>
        <v>21602218</v>
      </c>
      <c r="J149" s="23"/>
    </row>
    <row r="150" spans="1:10" x14ac:dyDescent="0.2">
      <c r="A150" s="20" t="str">
        <f>Data!B146</f>
        <v>3119</v>
      </c>
      <c r="B150" s="21" t="str">
        <f>INDEX(Data[],MATCH($A150,Data[Dist],0),MATCH(B$4,Data[#Headers],0))</f>
        <v>Interstate 35</v>
      </c>
      <c r="C150" s="22">
        <f>INDEX(Data[],MATCH($A150,Data[Dist],0),MATCH(C$4,Data[#Headers],0))</f>
        <v>137408</v>
      </c>
      <c r="D150" s="22">
        <f>INDEX(Data[],MATCH($A150,Data[Dist],0),MATCH(D$4,Data[#Headers],0))</f>
        <v>519181</v>
      </c>
      <c r="E150" s="22">
        <f>INDEX(Data[],MATCH($A150,Data[Dist],0),MATCH(E$4,Data[#Headers],0))</f>
        <v>54797</v>
      </c>
      <c r="F150" s="22">
        <f>INDEX(Data[],MATCH($A150,Data[Dist],0),MATCH(F$4,Data[#Headers],0))</f>
        <v>47991</v>
      </c>
      <c r="G150" s="22">
        <f>INDEX(Data[],MATCH($A150,Data[Dist],0),MATCH(G$4,Data[#Headers],0))</f>
        <v>287193</v>
      </c>
      <c r="H150" s="22">
        <f>INDEX(Data[],MATCH($A150,Data[Dist],0),MATCH(H$4,Data[#Headers],0))</f>
        <v>4383470</v>
      </c>
      <c r="I150" s="22">
        <f>INDEX(Data[],MATCH($A150,Data[Dist],0),MATCH(I$4,Data[#Headers],0))</f>
        <v>5430040</v>
      </c>
      <c r="J150" s="23"/>
    </row>
    <row r="151" spans="1:10" x14ac:dyDescent="0.2">
      <c r="A151" s="20" t="str">
        <f>Data!B147</f>
        <v>3141</v>
      </c>
      <c r="B151" s="21" t="str">
        <f>INDEX(Data[],MATCH($A151,Data[Dist],0),MATCH(B$4,Data[#Headers],0))</f>
        <v>Iowa City</v>
      </c>
      <c r="C151" s="22">
        <f>INDEX(Data[],MATCH($A151,Data[Dist],0),MATCH(C$4,Data[#Headers],0))</f>
        <v>1665653</v>
      </c>
      <c r="D151" s="22">
        <f>INDEX(Data[],MATCH($A151,Data[Dist],0),MATCH(D$4,Data[#Headers],0))</f>
        <v>7919507</v>
      </c>
      <c r="E151" s="22">
        <f>INDEX(Data[],MATCH($A151,Data[Dist],0),MATCH(E$4,Data[#Headers],0))</f>
        <v>1003763</v>
      </c>
      <c r="F151" s="22">
        <f>INDEX(Data[],MATCH($A151,Data[Dist],0),MATCH(F$4,Data[#Headers],0))</f>
        <v>978776</v>
      </c>
      <c r="G151" s="22">
        <f>INDEX(Data[],MATCH($A151,Data[Dist],0),MATCH(G$4,Data[#Headers],0))</f>
        <v>4635484</v>
      </c>
      <c r="H151" s="22">
        <f>INDEX(Data[],MATCH($A151,Data[Dist],0),MATCH(H$4,Data[#Headers],0))</f>
        <v>58457815</v>
      </c>
      <c r="I151" s="22">
        <f>INDEX(Data[],MATCH($A151,Data[Dist],0),MATCH(I$4,Data[#Headers],0))</f>
        <v>74660998</v>
      </c>
      <c r="J151" s="23"/>
    </row>
    <row r="152" spans="1:10" x14ac:dyDescent="0.2">
      <c r="A152" s="20" t="str">
        <f>Data!B148</f>
        <v>3150</v>
      </c>
      <c r="B152" s="21" t="str">
        <f>INDEX(Data[],MATCH($A152,Data[Dist],0),MATCH(B$4,Data[#Headers],0))</f>
        <v>Iowa Falls</v>
      </c>
      <c r="C152" s="22">
        <f>INDEX(Data[],MATCH($A152,Data[Dist],0),MATCH(C$4,Data[#Headers],0))</f>
        <v>157517</v>
      </c>
      <c r="D152" s="22">
        <f>INDEX(Data[],MATCH($A152,Data[Dist],0),MATCH(D$4,Data[#Headers],0))</f>
        <v>647030</v>
      </c>
      <c r="E152" s="22">
        <f>INDEX(Data[],MATCH($A152,Data[Dist],0),MATCH(E$4,Data[#Headers],0))</f>
        <v>81160</v>
      </c>
      <c r="F152" s="22">
        <f>INDEX(Data[],MATCH($A152,Data[Dist],0),MATCH(F$4,Data[#Headers],0))</f>
        <v>75235</v>
      </c>
      <c r="G152" s="22">
        <f>INDEX(Data[],MATCH($A152,Data[Dist],0),MATCH(G$4,Data[#Headers],0))</f>
        <v>358236</v>
      </c>
      <c r="H152" s="22">
        <f>INDEX(Data[],MATCH($A152,Data[Dist],0),MATCH(H$4,Data[#Headers],0))</f>
        <v>5544833</v>
      </c>
      <c r="I152" s="22">
        <f>INDEX(Data[],MATCH($A152,Data[Dist],0),MATCH(I$4,Data[#Headers],0))</f>
        <v>6864011</v>
      </c>
      <c r="J152" s="23"/>
    </row>
    <row r="153" spans="1:10" x14ac:dyDescent="0.2">
      <c r="A153" s="20" t="str">
        <f>Data!B149</f>
        <v>3154</v>
      </c>
      <c r="B153" s="21" t="str">
        <f>INDEX(Data[],MATCH($A153,Data[Dist],0),MATCH(B$4,Data[#Headers],0))</f>
        <v>Iowa Valley</v>
      </c>
      <c r="C153" s="22">
        <f>INDEX(Data[],MATCH($A153,Data[Dist],0),MATCH(C$4,Data[#Headers],0))</f>
        <v>87137</v>
      </c>
      <c r="D153" s="22">
        <f>INDEX(Data[],MATCH($A153,Data[Dist],0),MATCH(D$4,Data[#Headers],0))</f>
        <v>301148</v>
      </c>
      <c r="E153" s="22">
        <f>INDEX(Data[],MATCH($A153,Data[Dist],0),MATCH(E$4,Data[#Headers],0))</f>
        <v>29746</v>
      </c>
      <c r="F153" s="22">
        <f>INDEX(Data[],MATCH($A153,Data[Dist],0),MATCH(F$4,Data[#Headers],0))</f>
        <v>35111</v>
      </c>
      <c r="G153" s="22">
        <f>INDEX(Data[],MATCH($A153,Data[Dist],0),MATCH(G$4,Data[#Headers],0))</f>
        <v>177845</v>
      </c>
      <c r="H153" s="22">
        <f>INDEX(Data[],MATCH($A153,Data[Dist],0),MATCH(H$4,Data[#Headers],0))</f>
        <v>2760571</v>
      </c>
      <c r="I153" s="22">
        <f>INDEX(Data[],MATCH($A153,Data[Dist],0),MATCH(I$4,Data[#Headers],0))</f>
        <v>3391558</v>
      </c>
      <c r="J153" s="23"/>
    </row>
    <row r="154" spans="1:10" x14ac:dyDescent="0.2">
      <c r="A154" s="20" t="str">
        <f>Data!B150</f>
        <v>3168</v>
      </c>
      <c r="B154" s="21" t="str">
        <f>INDEX(Data[],MATCH($A154,Data[Dist],0),MATCH(B$4,Data[#Headers],0))</f>
        <v>IKM-Manning</v>
      </c>
      <c r="C154" s="22">
        <f>INDEX(Data[],MATCH($A154,Data[Dist],0),MATCH(C$4,Data[#Headers],0))</f>
        <v>144111</v>
      </c>
      <c r="D154" s="22">
        <f>INDEX(Data[],MATCH($A154,Data[Dist],0),MATCH(D$4,Data[#Headers],0))</f>
        <v>429077</v>
      </c>
      <c r="E154" s="22">
        <f>INDEX(Data[],MATCH($A154,Data[Dist],0),MATCH(E$4,Data[#Headers],0))</f>
        <v>44269</v>
      </c>
      <c r="F154" s="22">
        <f>INDEX(Data[],MATCH($A154,Data[Dist],0),MATCH(F$4,Data[#Headers],0))</f>
        <v>49135</v>
      </c>
      <c r="G154" s="22">
        <f>INDEX(Data[],MATCH($A154,Data[Dist],0),MATCH(G$4,Data[#Headers],0))</f>
        <v>221857</v>
      </c>
      <c r="H154" s="22">
        <f>INDEX(Data[],MATCH($A154,Data[Dist],0),MATCH(H$4,Data[#Headers],0))</f>
        <v>2655893</v>
      </c>
      <c r="I154" s="22">
        <f>INDEX(Data[],MATCH($A154,Data[Dist],0),MATCH(I$4,Data[#Headers],0))</f>
        <v>3544342</v>
      </c>
      <c r="J154" s="23"/>
    </row>
    <row r="155" spans="1:10" x14ac:dyDescent="0.2">
      <c r="A155" s="20" t="str">
        <f>Data!B151</f>
        <v>3186</v>
      </c>
      <c r="B155" s="21" t="str">
        <f>INDEX(Data[],MATCH($A155,Data[Dist],0),MATCH(B$4,Data[#Headers],0))</f>
        <v>Janesville</v>
      </c>
      <c r="C155" s="22">
        <f>INDEX(Data[],MATCH($A155,Data[Dist],0),MATCH(C$4,Data[#Headers],0))</f>
        <v>107245</v>
      </c>
      <c r="D155" s="22">
        <f>INDEX(Data[],MATCH($A155,Data[Dist],0),MATCH(D$4,Data[#Headers],0))</f>
        <v>229601</v>
      </c>
      <c r="E155" s="22">
        <f>INDEX(Data[],MATCH($A155,Data[Dist],0),MATCH(E$4,Data[#Headers],0))</f>
        <v>19493</v>
      </c>
      <c r="F155" s="22">
        <f>INDEX(Data[],MATCH($A155,Data[Dist],0),MATCH(F$4,Data[#Headers],0))</f>
        <v>22024</v>
      </c>
      <c r="G155" s="22">
        <f>INDEX(Data[],MATCH($A155,Data[Dist],0),MATCH(G$4,Data[#Headers],0))</f>
        <v>131580</v>
      </c>
      <c r="H155" s="22">
        <f>INDEX(Data[],MATCH($A155,Data[Dist],0),MATCH(H$4,Data[#Headers],0))</f>
        <v>1852137</v>
      </c>
      <c r="I155" s="22">
        <f>INDEX(Data[],MATCH($A155,Data[Dist],0),MATCH(I$4,Data[#Headers],0))</f>
        <v>2362080</v>
      </c>
      <c r="J155" s="23"/>
    </row>
    <row r="156" spans="1:10" x14ac:dyDescent="0.2">
      <c r="A156" s="20" t="str">
        <f>Data!B152</f>
        <v>3195</v>
      </c>
      <c r="B156" s="21" t="str">
        <f>INDEX(Data[],MATCH($A156,Data[Dist],0),MATCH(B$4,Data[#Headers],0))</f>
        <v>Greene County</v>
      </c>
      <c r="C156" s="22">
        <f>INDEX(Data[],MATCH($A156,Data[Dist],0),MATCH(C$4,Data[#Headers],0))</f>
        <v>274816</v>
      </c>
      <c r="D156" s="22">
        <f>INDEX(Data[],MATCH($A156,Data[Dist],0),MATCH(D$4,Data[#Headers],0))</f>
        <v>730654</v>
      </c>
      <c r="E156" s="22">
        <f>INDEX(Data[],MATCH($A156,Data[Dist],0),MATCH(E$4,Data[#Headers],0))</f>
        <v>90018</v>
      </c>
      <c r="F156" s="22">
        <f>INDEX(Data[],MATCH($A156,Data[Dist],0),MATCH(F$4,Data[#Headers],0))</f>
        <v>83118</v>
      </c>
      <c r="G156" s="22">
        <f>INDEX(Data[],MATCH($A156,Data[Dist],0),MATCH(G$4,Data[#Headers],0))</f>
        <v>404501</v>
      </c>
      <c r="H156" s="22">
        <f>INDEX(Data[],MATCH($A156,Data[Dist],0),MATCH(H$4,Data[#Headers],0))</f>
        <v>5622428</v>
      </c>
      <c r="I156" s="22">
        <f>INDEX(Data[],MATCH($A156,Data[Dist],0),MATCH(I$4,Data[#Headers],0))</f>
        <v>7205535</v>
      </c>
      <c r="J156" s="23"/>
    </row>
    <row r="157" spans="1:10" x14ac:dyDescent="0.2">
      <c r="A157" s="20" t="str">
        <f>Data!B153</f>
        <v>3204</v>
      </c>
      <c r="B157" s="21" t="str">
        <f>INDEX(Data[],MATCH($A157,Data[Dist],0),MATCH(B$4,Data[#Headers],0))</f>
        <v>Jesup</v>
      </c>
      <c r="C157" s="22">
        <f>INDEX(Data[],MATCH($A157,Data[Dist],0),MATCH(C$4,Data[#Headers],0))</f>
        <v>0</v>
      </c>
      <c r="D157" s="22">
        <f>INDEX(Data[],MATCH($A157,Data[Dist],0),MATCH(D$4,Data[#Headers],0))</f>
        <v>478607</v>
      </c>
      <c r="E157" s="22">
        <f>INDEX(Data[],MATCH($A157,Data[Dist],0),MATCH(E$4,Data[#Headers],0))</f>
        <v>63378</v>
      </c>
      <c r="F157" s="22">
        <f>INDEX(Data[],MATCH($A157,Data[Dist],0),MATCH(F$4,Data[#Headers],0))</f>
        <v>51901</v>
      </c>
      <c r="G157" s="22">
        <f>INDEX(Data[],MATCH($A157,Data[Dist],0),MATCH(G$4,Data[#Headers],0))</f>
        <v>296462</v>
      </c>
      <c r="H157" s="22">
        <f>INDEX(Data[],MATCH($A157,Data[Dist],0),MATCH(H$4,Data[#Headers],0))</f>
        <v>4326250</v>
      </c>
      <c r="I157" s="22">
        <f>INDEX(Data[],MATCH($A157,Data[Dist],0),MATCH(I$4,Data[#Headers],0))</f>
        <v>5216598</v>
      </c>
      <c r="J157" s="23"/>
    </row>
    <row r="158" spans="1:10" x14ac:dyDescent="0.2">
      <c r="A158" s="20" t="str">
        <f>Data!B154</f>
        <v>3231</v>
      </c>
      <c r="B158" s="21" t="str">
        <f>INDEX(Data[],MATCH($A158,Data[Dist],0),MATCH(B$4,Data[#Headers],0))</f>
        <v>Johnston</v>
      </c>
      <c r="C158" s="22">
        <f>INDEX(Data[],MATCH($A158,Data[Dist],0),MATCH(C$4,Data[#Headers],0))</f>
        <v>898179</v>
      </c>
      <c r="D158" s="22">
        <f>INDEX(Data[],MATCH($A158,Data[Dist],0),MATCH(D$4,Data[#Headers],0))</f>
        <v>3823197</v>
      </c>
      <c r="E158" s="22">
        <f>INDEX(Data[],MATCH($A158,Data[Dist],0),MATCH(E$4,Data[#Headers],0))</f>
        <v>415957</v>
      </c>
      <c r="F158" s="22">
        <f>INDEX(Data[],MATCH($A158,Data[Dist],0),MATCH(F$4,Data[#Headers],0))</f>
        <v>424234</v>
      </c>
      <c r="G158" s="22">
        <f>INDEX(Data[],MATCH($A158,Data[Dist],0),MATCH(G$4,Data[#Headers],0))</f>
        <v>2309694</v>
      </c>
      <c r="H158" s="22">
        <f>INDEX(Data[],MATCH($A158,Data[Dist],0),MATCH(H$4,Data[#Headers],0))</f>
        <v>33295431</v>
      </c>
      <c r="I158" s="22">
        <f>INDEX(Data[],MATCH($A158,Data[Dist],0),MATCH(I$4,Data[#Headers],0))</f>
        <v>41166692</v>
      </c>
      <c r="J158" s="23"/>
    </row>
    <row r="159" spans="1:10" x14ac:dyDescent="0.2">
      <c r="A159" s="20" t="str">
        <f>Data!B155</f>
        <v>3312</v>
      </c>
      <c r="B159" s="21" t="str">
        <f>INDEX(Data[],MATCH($A159,Data[Dist],0),MATCH(B$4,Data[#Headers],0))</f>
        <v>Keokuk</v>
      </c>
      <c r="C159" s="22">
        <f>INDEX(Data[],MATCH($A159,Data[Dist],0),MATCH(C$4,Data[#Headers],0))</f>
        <v>335141</v>
      </c>
      <c r="D159" s="22">
        <f>INDEX(Data[],MATCH($A159,Data[Dist],0),MATCH(D$4,Data[#Headers],0))</f>
        <v>1087765</v>
      </c>
      <c r="E159" s="22">
        <f>INDEX(Data[],MATCH($A159,Data[Dist],0),MATCH(E$4,Data[#Headers],0))</f>
        <v>139580</v>
      </c>
      <c r="F159" s="22">
        <f>INDEX(Data[],MATCH($A159,Data[Dist],0),MATCH(F$4,Data[#Headers],0))</f>
        <v>129325</v>
      </c>
      <c r="G159" s="22">
        <f>INDEX(Data[],MATCH($A159,Data[Dist],0),MATCH(G$4,Data[#Headers],0))</f>
        <v>623517</v>
      </c>
      <c r="H159" s="22">
        <f>INDEX(Data[],MATCH($A159,Data[Dist],0),MATCH(H$4,Data[#Headers],0))</f>
        <v>11711568</v>
      </c>
      <c r="I159" s="22">
        <f>INDEX(Data[],MATCH($A159,Data[Dist],0),MATCH(I$4,Data[#Headers],0))</f>
        <v>14026896</v>
      </c>
      <c r="J159" s="23"/>
    </row>
    <row r="160" spans="1:10" x14ac:dyDescent="0.2">
      <c r="A160" s="20" t="str">
        <f>Data!B156</f>
        <v>3330</v>
      </c>
      <c r="B160" s="21" t="str">
        <f>INDEX(Data[],MATCH($A160,Data[Dist],0),MATCH(B$4,Data[#Headers],0))</f>
        <v>Keota</v>
      </c>
      <c r="C160" s="22">
        <f>INDEX(Data[],MATCH($A160,Data[Dist],0),MATCH(C$4,Data[#Headers],0))</f>
        <v>70380</v>
      </c>
      <c r="D160" s="22">
        <f>INDEX(Data[],MATCH($A160,Data[Dist],0),MATCH(D$4,Data[#Headers],0))</f>
        <v>215200</v>
      </c>
      <c r="E160" s="22">
        <f>INDEX(Data[],MATCH($A160,Data[Dist],0),MATCH(E$4,Data[#Headers],0))</f>
        <v>20685</v>
      </c>
      <c r="F160" s="22">
        <f>INDEX(Data[],MATCH($A160,Data[Dist],0),MATCH(F$4,Data[#Headers],0))</f>
        <v>22524</v>
      </c>
      <c r="G160" s="22">
        <f>INDEX(Data[],MATCH($A160,Data[Dist],0),MATCH(G$4,Data[#Headers],0))</f>
        <v>112821</v>
      </c>
      <c r="H160" s="22">
        <f>INDEX(Data[],MATCH($A160,Data[Dist],0),MATCH(H$4,Data[#Headers],0))</f>
        <v>1441969</v>
      </c>
      <c r="I160" s="22">
        <f>INDEX(Data[],MATCH($A160,Data[Dist],0),MATCH(I$4,Data[#Headers],0))</f>
        <v>1883579</v>
      </c>
      <c r="J160" s="23"/>
    </row>
    <row r="161" spans="1:10" x14ac:dyDescent="0.2">
      <c r="A161" s="20" t="str">
        <f>Data!B157</f>
        <v>3348</v>
      </c>
      <c r="B161" s="21" t="str">
        <f>INDEX(Data[],MATCH($A161,Data[Dist],0),MATCH(B$4,Data[#Headers],0))</f>
        <v>Kingsley-Pierson</v>
      </c>
      <c r="C161" s="22">
        <f>INDEX(Data[],MATCH($A161,Data[Dist],0),MATCH(C$4,Data[#Headers],0))</f>
        <v>0</v>
      </c>
      <c r="D161" s="22">
        <f>INDEX(Data[],MATCH($A161,Data[Dist],0),MATCH(D$4,Data[#Headers],0))</f>
        <v>286819</v>
      </c>
      <c r="E161" s="22">
        <f>INDEX(Data[],MATCH($A161,Data[Dist],0),MATCH(E$4,Data[#Headers],0))</f>
        <v>36262</v>
      </c>
      <c r="F161" s="22">
        <f>INDEX(Data[],MATCH($A161,Data[Dist],0),MATCH(F$4,Data[#Headers],0))</f>
        <v>33253</v>
      </c>
      <c r="G161" s="22">
        <f>INDEX(Data[],MATCH($A161,Data[Dist],0),MATCH(G$4,Data[#Headers],0))</f>
        <v>151064</v>
      </c>
      <c r="H161" s="22">
        <f>INDEX(Data[],MATCH($A161,Data[Dist],0),MATCH(H$4,Data[#Headers],0))</f>
        <v>2081582</v>
      </c>
      <c r="I161" s="22">
        <f>INDEX(Data[],MATCH($A161,Data[Dist],0),MATCH(I$4,Data[#Headers],0))</f>
        <v>2588980</v>
      </c>
      <c r="J161" s="23"/>
    </row>
    <row r="162" spans="1:10" x14ac:dyDescent="0.2">
      <c r="A162" s="20" t="str">
        <f>Data!B158</f>
        <v>3375</v>
      </c>
      <c r="B162" s="21" t="str">
        <f>INDEX(Data[],MATCH($A162,Data[Dist],0),MATCH(B$4,Data[#Headers],0))</f>
        <v>Knoxville</v>
      </c>
      <c r="C162" s="22">
        <f>INDEX(Data[],MATCH($A162,Data[Dist],0),MATCH(C$4,Data[#Headers],0))</f>
        <v>321736</v>
      </c>
      <c r="D162" s="22">
        <f>INDEX(Data[],MATCH($A162,Data[Dist],0),MATCH(D$4,Data[#Headers],0))</f>
        <v>1028565</v>
      </c>
      <c r="E162" s="22">
        <f>INDEX(Data[],MATCH($A162,Data[Dist],0),MATCH(E$4,Data[#Headers],0))</f>
        <v>121709</v>
      </c>
      <c r="F162" s="22">
        <f>INDEX(Data[],MATCH($A162,Data[Dist],0),MATCH(F$4,Data[#Headers],0))</f>
        <v>110032</v>
      </c>
      <c r="G162" s="22">
        <f>INDEX(Data[],MATCH($A162,Data[Dist],0),MATCH(G$4,Data[#Headers],0))</f>
        <v>575913</v>
      </c>
      <c r="H162" s="22">
        <f>INDEX(Data[],MATCH($A162,Data[Dist],0),MATCH(H$4,Data[#Headers],0))</f>
        <v>10013231</v>
      </c>
      <c r="I162" s="22">
        <f>INDEX(Data[],MATCH($A162,Data[Dist],0),MATCH(I$4,Data[#Headers],0))</f>
        <v>12171186</v>
      </c>
      <c r="J162" s="23"/>
    </row>
    <row r="163" spans="1:10" x14ac:dyDescent="0.2">
      <c r="A163" s="20" t="str">
        <f>Data!B159</f>
        <v>3420</v>
      </c>
      <c r="B163" s="21" t="str">
        <f>INDEX(Data[],MATCH($A163,Data[Dist],0),MATCH(B$4,Data[#Headers],0))</f>
        <v>Lake Mills</v>
      </c>
      <c r="C163" s="22">
        <f>INDEX(Data[],MATCH($A163,Data[Dist],0),MATCH(C$4,Data[#Headers],0))</f>
        <v>113948</v>
      </c>
      <c r="D163" s="22">
        <f>INDEX(Data[],MATCH($A163,Data[Dist],0),MATCH(D$4,Data[#Headers],0))</f>
        <v>378784</v>
      </c>
      <c r="E163" s="22">
        <f>INDEX(Data[],MATCH($A163,Data[Dist],0),MATCH(E$4,Data[#Headers],0))</f>
        <v>44595</v>
      </c>
      <c r="F163" s="22">
        <f>INDEX(Data[],MATCH($A163,Data[Dist],0),MATCH(F$4,Data[#Headers],0))</f>
        <v>38916</v>
      </c>
      <c r="G163" s="22">
        <f>INDEX(Data[],MATCH($A163,Data[Dist],0),MATCH(G$4,Data[#Headers],0))</f>
        <v>200667</v>
      </c>
      <c r="H163" s="22">
        <f>INDEX(Data[],MATCH($A163,Data[Dist],0),MATCH(H$4,Data[#Headers],0))</f>
        <v>2787579</v>
      </c>
      <c r="I163" s="22">
        <f>INDEX(Data[],MATCH($A163,Data[Dist],0),MATCH(I$4,Data[#Headers],0))</f>
        <v>3564489</v>
      </c>
      <c r="J163" s="23"/>
    </row>
    <row r="164" spans="1:10" x14ac:dyDescent="0.2">
      <c r="A164" s="20" t="str">
        <f>Data!B160</f>
        <v>3465</v>
      </c>
      <c r="B164" s="21" t="str">
        <f>INDEX(Data[],MATCH($A164,Data[Dist],0),MATCH(B$4,Data[#Headers],0))</f>
        <v>Lamoni</v>
      </c>
      <c r="C164" s="22">
        <f>INDEX(Data[],MATCH($A164,Data[Dist],0),MATCH(C$4,Data[#Headers],0))</f>
        <v>87137</v>
      </c>
      <c r="D164" s="22">
        <f>INDEX(Data[],MATCH($A164,Data[Dist],0),MATCH(D$4,Data[#Headers],0))</f>
        <v>202342</v>
      </c>
      <c r="E164" s="22">
        <f>INDEX(Data[],MATCH($A164,Data[Dist],0),MATCH(E$4,Data[#Headers],0))</f>
        <v>21910</v>
      </c>
      <c r="F164" s="22">
        <f>INDEX(Data[],MATCH($A164,Data[Dist],0),MATCH(F$4,Data[#Headers],0))</f>
        <v>21802</v>
      </c>
      <c r="G164" s="22">
        <f>INDEX(Data[],MATCH($A164,Data[Dist],0),MATCH(G$4,Data[#Headers],0))</f>
        <v>100007</v>
      </c>
      <c r="H164" s="22">
        <f>INDEX(Data[],MATCH($A164,Data[Dist],0),MATCH(H$4,Data[#Headers],0))</f>
        <v>1607306</v>
      </c>
      <c r="I164" s="22">
        <f>INDEX(Data[],MATCH($A164,Data[Dist],0),MATCH(I$4,Data[#Headers],0))</f>
        <v>2040504</v>
      </c>
      <c r="J164" s="23"/>
    </row>
    <row r="165" spans="1:10" x14ac:dyDescent="0.2">
      <c r="A165" s="20" t="str">
        <f>Data!B161</f>
        <v>3537</v>
      </c>
      <c r="B165" s="21" t="str">
        <f>INDEX(Data[],MATCH($A165,Data[Dist],0),MATCH(B$4,Data[#Headers],0))</f>
        <v>Laurens-Marathon</v>
      </c>
      <c r="C165" s="22">
        <f>INDEX(Data[],MATCH($A165,Data[Dist],0),MATCH(C$4,Data[#Headers],0))</f>
        <v>56974</v>
      </c>
      <c r="D165" s="22">
        <f>INDEX(Data[],MATCH($A165,Data[Dist],0),MATCH(D$4,Data[#Headers],0))</f>
        <v>186709</v>
      </c>
      <c r="E165" s="22">
        <f>INDEX(Data[],MATCH($A165,Data[Dist],0),MATCH(E$4,Data[#Headers],0))</f>
        <v>19148</v>
      </c>
      <c r="F165" s="22">
        <f>INDEX(Data[],MATCH($A165,Data[Dist],0),MATCH(F$4,Data[#Headers],0))</f>
        <v>20358</v>
      </c>
      <c r="G165" s="22">
        <f>INDEX(Data[],MATCH($A165,Data[Dist],0),MATCH(G$4,Data[#Headers],0))</f>
        <v>94072</v>
      </c>
      <c r="H165" s="22">
        <f>INDEX(Data[],MATCH($A165,Data[Dist],0),MATCH(H$4,Data[#Headers],0))</f>
        <v>1110567</v>
      </c>
      <c r="I165" s="22">
        <f>INDEX(Data[],MATCH($A165,Data[Dist],0),MATCH(I$4,Data[#Headers],0))</f>
        <v>1487828</v>
      </c>
      <c r="J165" s="23"/>
    </row>
    <row r="166" spans="1:10" x14ac:dyDescent="0.2">
      <c r="A166" s="20" t="str">
        <f>Data!B162</f>
        <v>3555</v>
      </c>
      <c r="B166" s="21" t="str">
        <f>INDEX(Data[],MATCH($A166,Data[Dist],0),MATCH(B$4,Data[#Headers],0))</f>
        <v>Lawton-Bronson</v>
      </c>
      <c r="C166" s="22">
        <f>INDEX(Data[],MATCH($A166,Data[Dist],0),MATCH(C$4,Data[#Headers],0))</f>
        <v>124002</v>
      </c>
      <c r="D166" s="22">
        <f>INDEX(Data[],MATCH($A166,Data[Dist],0),MATCH(D$4,Data[#Headers],0))</f>
        <v>328954</v>
      </c>
      <c r="E166" s="22">
        <f>INDEX(Data[],MATCH($A166,Data[Dist],0),MATCH(E$4,Data[#Headers],0))</f>
        <v>33551</v>
      </c>
      <c r="F166" s="22">
        <f>INDEX(Data[],MATCH($A166,Data[Dist],0),MATCH(F$4,Data[#Headers],0))</f>
        <v>34879</v>
      </c>
      <c r="G166" s="22">
        <f>INDEX(Data[],MATCH($A166,Data[Dist],0),MATCH(G$4,Data[#Headers],0))</f>
        <v>188111</v>
      </c>
      <c r="H166" s="22">
        <f>INDEX(Data[],MATCH($A166,Data[Dist],0),MATCH(H$4,Data[#Headers],0))</f>
        <v>2572334</v>
      </c>
      <c r="I166" s="22">
        <f>INDEX(Data[],MATCH($A166,Data[Dist],0),MATCH(I$4,Data[#Headers],0))</f>
        <v>3281831</v>
      </c>
      <c r="J166" s="23"/>
    </row>
    <row r="167" spans="1:10" x14ac:dyDescent="0.2">
      <c r="A167" s="20" t="str">
        <f>Data!B163</f>
        <v>3582</v>
      </c>
      <c r="B167" s="21" t="str">
        <f>INDEX(Data[],MATCH($A167,Data[Dist],0),MATCH(B$4,Data[#Headers],0))</f>
        <v>East Marshall</v>
      </c>
      <c r="C167" s="22">
        <f>INDEX(Data[],MATCH($A167,Data[Dist],0),MATCH(C$4,Data[#Headers],0))</f>
        <v>117300</v>
      </c>
      <c r="D167" s="22">
        <f>INDEX(Data[],MATCH($A167,Data[Dist],0),MATCH(D$4,Data[#Headers],0))</f>
        <v>353569</v>
      </c>
      <c r="E167" s="22">
        <f>INDEX(Data[],MATCH($A167,Data[Dist],0),MATCH(E$4,Data[#Headers],0))</f>
        <v>40469</v>
      </c>
      <c r="F167" s="22">
        <f>INDEX(Data[],MATCH($A167,Data[Dist],0),MATCH(F$4,Data[#Headers],0))</f>
        <v>40188</v>
      </c>
      <c r="G167" s="22">
        <f>INDEX(Data[],MATCH($A167,Data[Dist],0),MATCH(G$4,Data[#Headers],0))</f>
        <v>183591</v>
      </c>
      <c r="H167" s="22">
        <f>INDEX(Data[],MATCH($A167,Data[Dist],0),MATCH(H$4,Data[#Headers],0))</f>
        <v>2342589</v>
      </c>
      <c r="I167" s="22">
        <f>INDEX(Data[],MATCH($A167,Data[Dist],0),MATCH(I$4,Data[#Headers],0))</f>
        <v>3077706</v>
      </c>
      <c r="J167" s="23"/>
    </row>
    <row r="168" spans="1:10" x14ac:dyDescent="0.2">
      <c r="A168" s="20" t="str">
        <f>Data!B164</f>
        <v>3600</v>
      </c>
      <c r="B168" s="21" t="str">
        <f>INDEX(Data[],MATCH($A168,Data[Dist],0),MATCH(B$4,Data[#Headers],0))</f>
        <v>Le Mars</v>
      </c>
      <c r="C168" s="22">
        <f>INDEX(Data[],MATCH($A168,Data[Dist],0),MATCH(C$4,Data[#Headers],0))</f>
        <v>335141</v>
      </c>
      <c r="D168" s="22">
        <f>INDEX(Data[],MATCH($A168,Data[Dist],0),MATCH(D$4,Data[#Headers],0))</f>
        <v>1219233</v>
      </c>
      <c r="E168" s="22">
        <f>INDEX(Data[],MATCH($A168,Data[Dist],0),MATCH(E$4,Data[#Headers],0))</f>
        <v>133635</v>
      </c>
      <c r="F168" s="22">
        <f>INDEX(Data[],MATCH($A168,Data[Dist],0),MATCH(F$4,Data[#Headers],0))</f>
        <v>141674</v>
      </c>
      <c r="G168" s="22">
        <f>INDEX(Data[],MATCH($A168,Data[Dist],0),MATCH(G$4,Data[#Headers],0))</f>
        <v>713174</v>
      </c>
      <c r="H168" s="22">
        <f>INDEX(Data[],MATCH($A168,Data[Dist],0),MATCH(H$4,Data[#Headers],0))</f>
        <v>9994290</v>
      </c>
      <c r="I168" s="22">
        <f>INDEX(Data[],MATCH($A168,Data[Dist],0),MATCH(I$4,Data[#Headers],0))</f>
        <v>12537147</v>
      </c>
      <c r="J168" s="23"/>
    </row>
    <row r="169" spans="1:10" x14ac:dyDescent="0.2">
      <c r="A169" s="20" t="str">
        <f>Data!B165</f>
        <v>3609</v>
      </c>
      <c r="B169" s="21" t="str">
        <f>INDEX(Data[],MATCH($A169,Data[Dist],0),MATCH(B$4,Data[#Headers],0))</f>
        <v>Lenox</v>
      </c>
      <c r="C169" s="22">
        <f>INDEX(Data[],MATCH($A169,Data[Dist],0),MATCH(C$4,Data[#Headers],0))</f>
        <v>113948</v>
      </c>
      <c r="D169" s="22">
        <f>INDEX(Data[],MATCH($A169,Data[Dist],0),MATCH(D$4,Data[#Headers],0))</f>
        <v>296833</v>
      </c>
      <c r="E169" s="22">
        <f>INDEX(Data[],MATCH($A169,Data[Dist],0),MATCH(E$4,Data[#Headers],0))</f>
        <v>39302</v>
      </c>
      <c r="F169" s="22">
        <f>INDEX(Data[],MATCH($A169,Data[Dist],0),MATCH(F$4,Data[#Headers],0))</f>
        <v>34262</v>
      </c>
      <c r="G169" s="22">
        <f>INDEX(Data[],MATCH($A169,Data[Dist],0),MATCH(G$4,Data[#Headers],0))</f>
        <v>150999</v>
      </c>
      <c r="H169" s="22">
        <f>INDEX(Data[],MATCH($A169,Data[Dist],0),MATCH(H$4,Data[#Headers],0))</f>
        <v>2235611</v>
      </c>
      <c r="I169" s="22">
        <f>INDEX(Data[],MATCH($A169,Data[Dist],0),MATCH(I$4,Data[#Headers],0))</f>
        <v>2870955</v>
      </c>
      <c r="J169" s="23"/>
    </row>
    <row r="170" spans="1:10" x14ac:dyDescent="0.2">
      <c r="A170" s="20" t="str">
        <f>Data!B166</f>
        <v>3645</v>
      </c>
      <c r="B170" s="21" t="str">
        <f>INDEX(Data[],MATCH($A170,Data[Dist],0),MATCH(B$4,Data[#Headers],0))</f>
        <v>Lewis Central</v>
      </c>
      <c r="C170" s="22">
        <f>INDEX(Data[],MATCH($A170,Data[Dist],0),MATCH(C$4,Data[#Headers],0))</f>
        <v>140759</v>
      </c>
      <c r="D170" s="22">
        <f>INDEX(Data[],MATCH($A170,Data[Dist],0),MATCH(D$4,Data[#Headers],0))</f>
        <v>1392723</v>
      </c>
      <c r="E170" s="22">
        <f>INDEX(Data[],MATCH($A170,Data[Dist],0),MATCH(E$4,Data[#Headers],0))</f>
        <v>207926</v>
      </c>
      <c r="F170" s="22">
        <f>INDEX(Data[],MATCH($A170,Data[Dist],0),MATCH(F$4,Data[#Headers],0))</f>
        <v>163142</v>
      </c>
      <c r="G170" s="22">
        <f>INDEX(Data[],MATCH($A170,Data[Dist],0),MATCH(G$4,Data[#Headers],0))</f>
        <v>808283</v>
      </c>
      <c r="H170" s="22">
        <f>INDEX(Data[],MATCH($A170,Data[Dist],0),MATCH(H$4,Data[#Headers],0))</f>
        <v>9251365</v>
      </c>
      <c r="I170" s="22">
        <f>INDEX(Data[],MATCH($A170,Data[Dist],0),MATCH(I$4,Data[#Headers],0))</f>
        <v>11964198</v>
      </c>
      <c r="J170" s="23"/>
    </row>
    <row r="171" spans="1:10" x14ac:dyDescent="0.2">
      <c r="A171" s="20" t="str">
        <f>Data!B167</f>
        <v>3691</v>
      </c>
      <c r="B171" s="21" t="str">
        <f>INDEX(Data[],MATCH($A171,Data[Dist],0),MATCH(B$4,Data[#Headers],0))</f>
        <v>North Cedar</v>
      </c>
      <c r="C171" s="22">
        <f>INDEX(Data[],MATCH($A171,Data[Dist],0),MATCH(C$4,Data[#Headers],0))</f>
        <v>107245</v>
      </c>
      <c r="D171" s="22">
        <f>INDEX(Data[],MATCH($A171,Data[Dist],0),MATCH(D$4,Data[#Headers],0))</f>
        <v>471446</v>
      </c>
      <c r="E171" s="22">
        <f>INDEX(Data[],MATCH($A171,Data[Dist],0),MATCH(E$4,Data[#Headers],0))</f>
        <v>49250</v>
      </c>
      <c r="F171" s="22">
        <f>INDEX(Data[],MATCH($A171,Data[Dist],0),MATCH(F$4,Data[#Headers],0))</f>
        <v>50473</v>
      </c>
      <c r="G171" s="22">
        <f>INDEX(Data[],MATCH($A171,Data[Dist],0),MATCH(G$4,Data[#Headers],0))</f>
        <v>266213</v>
      </c>
      <c r="H171" s="22">
        <f>INDEX(Data[],MATCH($A171,Data[Dist],0),MATCH(H$4,Data[#Headers],0))</f>
        <v>3577270</v>
      </c>
      <c r="I171" s="22">
        <f>INDEX(Data[],MATCH($A171,Data[Dist],0),MATCH(I$4,Data[#Headers],0))</f>
        <v>4521897</v>
      </c>
      <c r="J171" s="23"/>
    </row>
    <row r="172" spans="1:10" x14ac:dyDescent="0.2">
      <c r="A172" s="20" t="str">
        <f>Data!B168</f>
        <v>3715</v>
      </c>
      <c r="B172" s="21" t="str">
        <f>INDEX(Data[],MATCH($A172,Data[Dist],0),MATCH(B$4,Data[#Headers],0))</f>
        <v>Linn-Mar</v>
      </c>
      <c r="C172" s="22">
        <f>INDEX(Data[],MATCH($A172,Data[Dist],0),MATCH(C$4,Data[#Headers],0))</f>
        <v>784231</v>
      </c>
      <c r="D172" s="22">
        <f>INDEX(Data[],MATCH($A172,Data[Dist],0),MATCH(D$4,Data[#Headers],0))</f>
        <v>4036146</v>
      </c>
      <c r="E172" s="22">
        <f>INDEX(Data[],MATCH($A172,Data[Dist],0),MATCH(E$4,Data[#Headers],0))</f>
        <v>444685</v>
      </c>
      <c r="F172" s="22">
        <f>INDEX(Data[],MATCH($A172,Data[Dist],0),MATCH(F$4,Data[#Headers],0))</f>
        <v>451006</v>
      </c>
      <c r="G172" s="22">
        <f>INDEX(Data[],MATCH($A172,Data[Dist],0),MATCH(G$4,Data[#Headers],0))</f>
        <v>2427919</v>
      </c>
      <c r="H172" s="22">
        <f>INDEX(Data[],MATCH($A172,Data[Dist],0),MATCH(H$4,Data[#Headers],0))</f>
        <v>36137495</v>
      </c>
      <c r="I172" s="22">
        <f>INDEX(Data[],MATCH($A172,Data[Dist],0),MATCH(I$4,Data[#Headers],0))</f>
        <v>44281482</v>
      </c>
      <c r="J172" s="23"/>
    </row>
    <row r="173" spans="1:10" x14ac:dyDescent="0.2">
      <c r="A173" s="20" t="str">
        <f>Data!B169</f>
        <v>3744</v>
      </c>
      <c r="B173" s="21" t="str">
        <f>INDEX(Data[],MATCH($A173,Data[Dist],0),MATCH(B$4,Data[#Headers],0))</f>
        <v>Lisbon</v>
      </c>
      <c r="C173" s="22">
        <f>INDEX(Data[],MATCH($A173,Data[Dist],0),MATCH(C$4,Data[#Headers],0))</f>
        <v>147462</v>
      </c>
      <c r="D173" s="22">
        <f>INDEX(Data[],MATCH($A173,Data[Dist],0),MATCH(D$4,Data[#Headers],0))</f>
        <v>359438</v>
      </c>
      <c r="E173" s="22">
        <f>INDEX(Data[],MATCH($A173,Data[Dist],0),MATCH(E$4,Data[#Headers],0))</f>
        <v>34961</v>
      </c>
      <c r="F173" s="22">
        <f>INDEX(Data[],MATCH($A173,Data[Dist],0),MATCH(F$4,Data[#Headers],0))</f>
        <v>35604</v>
      </c>
      <c r="G173" s="22">
        <f>INDEX(Data[],MATCH($A173,Data[Dist],0),MATCH(G$4,Data[#Headers],0))</f>
        <v>214296</v>
      </c>
      <c r="H173" s="22">
        <f>INDEX(Data[],MATCH($A173,Data[Dist],0),MATCH(H$4,Data[#Headers],0))</f>
        <v>3142945</v>
      </c>
      <c r="I173" s="22">
        <f>INDEX(Data[],MATCH($A173,Data[Dist],0),MATCH(I$4,Data[#Headers],0))</f>
        <v>3934706</v>
      </c>
      <c r="J173" s="23"/>
    </row>
    <row r="174" spans="1:10" x14ac:dyDescent="0.2">
      <c r="A174" s="20" t="str">
        <f>Data!B170</f>
        <v>3798</v>
      </c>
      <c r="B174" s="21" t="str">
        <f>INDEX(Data[],MATCH($A174,Data[Dist],0),MATCH(B$4,Data[#Headers],0))</f>
        <v>Logan-Magnolia</v>
      </c>
      <c r="C174" s="22">
        <f>INDEX(Data[],MATCH($A174,Data[Dist],0),MATCH(C$4,Data[#Headers],0))</f>
        <v>124002</v>
      </c>
      <c r="D174" s="22">
        <f>INDEX(Data[],MATCH($A174,Data[Dist],0),MATCH(D$4,Data[#Headers],0))</f>
        <v>329444</v>
      </c>
      <c r="E174" s="22">
        <f>INDEX(Data[],MATCH($A174,Data[Dist],0),MATCH(E$4,Data[#Headers],0))</f>
        <v>37354</v>
      </c>
      <c r="F174" s="22">
        <f>INDEX(Data[],MATCH($A174,Data[Dist],0),MATCH(F$4,Data[#Headers],0))</f>
        <v>36733</v>
      </c>
      <c r="G174" s="22">
        <f>INDEX(Data[],MATCH($A174,Data[Dist],0),MATCH(G$4,Data[#Headers],0))</f>
        <v>184146</v>
      </c>
      <c r="H174" s="22">
        <f>INDEX(Data[],MATCH($A174,Data[Dist],0),MATCH(H$4,Data[#Headers],0))</f>
        <v>2749031</v>
      </c>
      <c r="I174" s="22">
        <f>INDEX(Data[],MATCH($A174,Data[Dist],0),MATCH(I$4,Data[#Headers],0))</f>
        <v>3460710</v>
      </c>
      <c r="J174" s="23"/>
    </row>
    <row r="175" spans="1:10" x14ac:dyDescent="0.2">
      <c r="A175" s="20" t="str">
        <f>Data!B171</f>
        <v>3816</v>
      </c>
      <c r="B175" s="21" t="str">
        <f>INDEX(Data[],MATCH($A175,Data[Dist],0),MATCH(B$4,Data[#Headers],0))</f>
        <v>Lone Tree</v>
      </c>
      <c r="C175" s="22">
        <f>INDEX(Data[],MATCH($A175,Data[Dist],0),MATCH(C$4,Data[#Headers],0))</f>
        <v>100542</v>
      </c>
      <c r="D175" s="22">
        <f>INDEX(Data[],MATCH($A175,Data[Dist],0),MATCH(D$4,Data[#Headers],0))</f>
        <v>239374</v>
      </c>
      <c r="E175" s="22">
        <f>INDEX(Data[],MATCH($A175,Data[Dist],0),MATCH(E$4,Data[#Headers],0))</f>
        <v>27058</v>
      </c>
      <c r="F175" s="22">
        <f>INDEX(Data[],MATCH($A175,Data[Dist],0),MATCH(F$4,Data[#Headers],0))</f>
        <v>24653</v>
      </c>
      <c r="G175" s="22">
        <f>INDEX(Data[],MATCH($A175,Data[Dist],0),MATCH(G$4,Data[#Headers],0))</f>
        <v>119532</v>
      </c>
      <c r="H175" s="22">
        <f>INDEX(Data[],MATCH($A175,Data[Dist],0),MATCH(H$4,Data[#Headers],0))</f>
        <v>1521424</v>
      </c>
      <c r="I175" s="22">
        <f>INDEX(Data[],MATCH($A175,Data[Dist],0),MATCH(I$4,Data[#Headers],0))</f>
        <v>2032583</v>
      </c>
      <c r="J175" s="23"/>
    </row>
    <row r="176" spans="1:10" x14ac:dyDescent="0.2">
      <c r="A176" s="20" t="str">
        <f>Data!B172</f>
        <v>3841</v>
      </c>
      <c r="B176" s="21" t="str">
        <f>INDEX(Data[],MATCH($A176,Data[Dist],0),MATCH(B$4,Data[#Headers],0))</f>
        <v>Louisa-Muscatine</v>
      </c>
      <c r="C176" s="22">
        <f>INDEX(Data[],MATCH($A176,Data[Dist],0),MATCH(C$4,Data[#Headers],0))</f>
        <v>170922</v>
      </c>
      <c r="D176" s="22">
        <f>INDEX(Data[],MATCH($A176,Data[Dist],0),MATCH(D$4,Data[#Headers],0))</f>
        <v>465630</v>
      </c>
      <c r="E176" s="22">
        <f>INDEX(Data[],MATCH($A176,Data[Dist],0),MATCH(E$4,Data[#Headers],0))</f>
        <v>49284</v>
      </c>
      <c r="F176" s="22">
        <f>INDEX(Data[],MATCH($A176,Data[Dist],0),MATCH(F$4,Data[#Headers],0))</f>
        <v>53916</v>
      </c>
      <c r="G176" s="22">
        <f>INDEX(Data[],MATCH($A176,Data[Dist],0),MATCH(G$4,Data[#Headers],0))</f>
        <v>241610</v>
      </c>
      <c r="H176" s="22">
        <f>INDEX(Data[],MATCH($A176,Data[Dist],0),MATCH(H$4,Data[#Headers],0))</f>
        <v>3524162</v>
      </c>
      <c r="I176" s="22">
        <f>INDEX(Data[],MATCH($A176,Data[Dist],0),MATCH(I$4,Data[#Headers],0))</f>
        <v>4505524</v>
      </c>
      <c r="J176" s="23"/>
    </row>
    <row r="177" spans="1:10" x14ac:dyDescent="0.2">
      <c r="A177" s="20" t="str">
        <f>Data!B173</f>
        <v>3897</v>
      </c>
      <c r="B177" s="21" t="str">
        <f>INDEX(Data[],MATCH($A177,Data[Dist],0),MATCH(B$4,Data[#Headers],0))</f>
        <v>Lu Verne</v>
      </c>
      <c r="C177" s="22">
        <f>INDEX(Data[],MATCH($A177,Data[Dist],0),MATCH(C$4,Data[#Headers],0))</f>
        <v>13406</v>
      </c>
      <c r="D177" s="22">
        <f>INDEX(Data[],MATCH($A177,Data[Dist],0),MATCH(D$4,Data[#Headers],0))</f>
        <v>109093</v>
      </c>
      <c r="E177" s="22">
        <f>INDEX(Data[],MATCH($A177,Data[Dist],0),MATCH(E$4,Data[#Headers],0))</f>
        <v>1997</v>
      </c>
      <c r="F177" s="22">
        <f>INDEX(Data[],MATCH($A177,Data[Dist],0),MATCH(F$4,Data[#Headers],0))</f>
        <v>11602</v>
      </c>
      <c r="G177" s="22">
        <f>INDEX(Data[],MATCH($A177,Data[Dist],0),MATCH(G$4,Data[#Headers],0))</f>
        <v>53938</v>
      </c>
      <c r="H177" s="22">
        <f>INDEX(Data[],MATCH($A177,Data[Dist],0),MATCH(H$4,Data[#Headers],0))</f>
        <v>291337</v>
      </c>
      <c r="I177" s="22">
        <f>INDEX(Data[],MATCH($A177,Data[Dist],0),MATCH(I$4,Data[#Headers],0))</f>
        <v>481373</v>
      </c>
      <c r="J177" s="23"/>
    </row>
    <row r="178" spans="1:10" x14ac:dyDescent="0.2">
      <c r="A178" s="20" t="str">
        <f>Data!B174</f>
        <v>3906</v>
      </c>
      <c r="B178" s="21" t="str">
        <f>INDEX(Data[],MATCH($A178,Data[Dist],0),MATCH(B$4,Data[#Headers],0))</f>
        <v>Lynnville-Sully</v>
      </c>
      <c r="C178" s="22">
        <f>INDEX(Data[],MATCH($A178,Data[Dist],0),MATCH(C$4,Data[#Headers],0))</f>
        <v>150814</v>
      </c>
      <c r="D178" s="22">
        <f>INDEX(Data[],MATCH($A178,Data[Dist],0),MATCH(D$4,Data[#Headers],0))</f>
        <v>273919</v>
      </c>
      <c r="E178" s="22">
        <f>INDEX(Data[],MATCH($A178,Data[Dist],0),MATCH(E$4,Data[#Headers],0))</f>
        <v>27700</v>
      </c>
      <c r="F178" s="22">
        <f>INDEX(Data[],MATCH($A178,Data[Dist],0),MATCH(F$4,Data[#Headers],0))</f>
        <v>27469</v>
      </c>
      <c r="G178" s="22">
        <f>INDEX(Data[],MATCH($A178,Data[Dist],0),MATCH(G$4,Data[#Headers],0))</f>
        <v>151039</v>
      </c>
      <c r="H178" s="22">
        <f>INDEX(Data[],MATCH($A178,Data[Dist],0),MATCH(H$4,Data[#Headers],0))</f>
        <v>2024012</v>
      </c>
      <c r="I178" s="22">
        <f>INDEX(Data[],MATCH($A178,Data[Dist],0),MATCH(I$4,Data[#Headers],0))</f>
        <v>2654953</v>
      </c>
      <c r="J178" s="23"/>
    </row>
    <row r="179" spans="1:10" x14ac:dyDescent="0.2">
      <c r="A179" s="20" t="str">
        <f>Data!B175</f>
        <v>3942</v>
      </c>
      <c r="B179" s="21" t="str">
        <f>INDEX(Data[],MATCH($A179,Data[Dist],0),MATCH(B$4,Data[#Headers],0))</f>
        <v>Madrid</v>
      </c>
      <c r="C179" s="22">
        <f>INDEX(Data[],MATCH($A179,Data[Dist],0),MATCH(C$4,Data[#Headers],0))</f>
        <v>137408</v>
      </c>
      <c r="D179" s="22">
        <f>INDEX(Data[],MATCH($A179,Data[Dist],0),MATCH(D$4,Data[#Headers],0))</f>
        <v>390605</v>
      </c>
      <c r="E179" s="22">
        <f>INDEX(Data[],MATCH($A179,Data[Dist],0),MATCH(E$4,Data[#Headers],0))</f>
        <v>47004</v>
      </c>
      <c r="F179" s="22">
        <f>INDEX(Data[],MATCH($A179,Data[Dist],0),MATCH(F$4,Data[#Headers],0))</f>
        <v>43025</v>
      </c>
      <c r="G179" s="22">
        <f>INDEX(Data[],MATCH($A179,Data[Dist],0),MATCH(G$4,Data[#Headers],0))</f>
        <v>223228</v>
      </c>
      <c r="H179" s="22">
        <f>INDEX(Data[],MATCH($A179,Data[Dist],0),MATCH(H$4,Data[#Headers],0))</f>
        <v>3829170</v>
      </c>
      <c r="I179" s="22">
        <f>INDEX(Data[],MATCH($A179,Data[Dist],0),MATCH(I$4,Data[#Headers],0))</f>
        <v>4670440</v>
      </c>
      <c r="J179" s="23"/>
    </row>
    <row r="180" spans="1:10" x14ac:dyDescent="0.2">
      <c r="A180" s="20" t="str">
        <f>Data!B176</f>
        <v>3978</v>
      </c>
      <c r="B180" s="21" t="str">
        <f>INDEX(Data[],MATCH($A180,Data[Dist],0),MATCH(B$4,Data[#Headers],0))</f>
        <v>East Mills</v>
      </c>
      <c r="C180" s="22">
        <f>INDEX(Data[],MATCH($A180,Data[Dist],0),MATCH(C$4,Data[#Headers],0))</f>
        <v>87137</v>
      </c>
      <c r="D180" s="22">
        <f>INDEX(Data[],MATCH($A180,Data[Dist],0),MATCH(D$4,Data[#Headers],0))</f>
        <v>347534</v>
      </c>
      <c r="E180" s="22">
        <f>INDEX(Data[],MATCH($A180,Data[Dist],0),MATCH(E$4,Data[#Headers],0))</f>
        <v>34840</v>
      </c>
      <c r="F180" s="22">
        <f>INDEX(Data[],MATCH($A180,Data[Dist],0),MATCH(F$4,Data[#Headers],0))</f>
        <v>38683</v>
      </c>
      <c r="G180" s="22">
        <f>INDEX(Data[],MATCH($A180,Data[Dist],0),MATCH(G$4,Data[#Headers],0))</f>
        <v>178465</v>
      </c>
      <c r="H180" s="22">
        <f>INDEX(Data[],MATCH($A180,Data[Dist],0),MATCH(H$4,Data[#Headers],0))</f>
        <v>2102865</v>
      </c>
      <c r="I180" s="22">
        <f>INDEX(Data[],MATCH($A180,Data[Dist],0),MATCH(I$4,Data[#Headers],0))</f>
        <v>2789524</v>
      </c>
      <c r="J180" s="23"/>
    </row>
    <row r="181" spans="1:10" x14ac:dyDescent="0.2">
      <c r="A181" s="20" t="str">
        <f>Data!B177</f>
        <v>4023</v>
      </c>
      <c r="B181" s="21" t="str">
        <f>INDEX(Data[],MATCH($A181,Data[Dist],0),MATCH(B$4,Data[#Headers],0))</f>
        <v>Manson-Northwest Webster</v>
      </c>
      <c r="C181" s="22">
        <f>INDEX(Data[],MATCH($A181,Data[Dist],0),MATCH(C$4,Data[#Headers],0))</f>
        <v>157517</v>
      </c>
      <c r="D181" s="22">
        <f>INDEX(Data[],MATCH($A181,Data[Dist],0),MATCH(D$4,Data[#Headers],0))</f>
        <v>402953</v>
      </c>
      <c r="E181" s="22">
        <f>INDEX(Data[],MATCH($A181,Data[Dist],0),MATCH(E$4,Data[#Headers],0))</f>
        <v>35196</v>
      </c>
      <c r="F181" s="22">
        <f>INDEX(Data[],MATCH($A181,Data[Dist],0),MATCH(F$4,Data[#Headers],0))</f>
        <v>43718</v>
      </c>
      <c r="G181" s="22">
        <f>INDEX(Data[],MATCH($A181,Data[Dist],0),MATCH(G$4,Data[#Headers],0))</f>
        <v>214837</v>
      </c>
      <c r="H181" s="22">
        <f>INDEX(Data[],MATCH($A181,Data[Dist],0),MATCH(H$4,Data[#Headers],0))</f>
        <v>2292725</v>
      </c>
      <c r="I181" s="22">
        <f>INDEX(Data[],MATCH($A181,Data[Dist],0),MATCH(I$4,Data[#Headers],0))</f>
        <v>3146946</v>
      </c>
      <c r="J181" s="23"/>
    </row>
    <row r="182" spans="1:10" x14ac:dyDescent="0.2">
      <c r="A182" s="20" t="str">
        <f>Data!B178</f>
        <v>4033</v>
      </c>
      <c r="B182" s="21" t="str">
        <f>INDEX(Data[],MATCH($A182,Data[Dist],0),MATCH(B$4,Data[#Headers],0))</f>
        <v>Maple Valley-Anthon Oto</v>
      </c>
      <c r="C182" s="22">
        <f>INDEX(Data[],MATCH($A182,Data[Dist],0),MATCH(C$4,Data[#Headers],0))</f>
        <v>100542</v>
      </c>
      <c r="D182" s="22">
        <f>INDEX(Data[],MATCH($A182,Data[Dist],0),MATCH(D$4,Data[#Headers],0))</f>
        <v>397809</v>
      </c>
      <c r="E182" s="22">
        <f>INDEX(Data[],MATCH($A182,Data[Dist],0),MATCH(E$4,Data[#Headers],0))</f>
        <v>39555</v>
      </c>
      <c r="F182" s="22">
        <f>INDEX(Data[],MATCH($A182,Data[Dist],0),MATCH(F$4,Data[#Headers],0))</f>
        <v>41647</v>
      </c>
      <c r="G182" s="22">
        <f>INDEX(Data[],MATCH($A182,Data[Dist],0),MATCH(G$4,Data[#Headers],0))</f>
        <v>219630</v>
      </c>
      <c r="H182" s="22">
        <f>INDEX(Data[],MATCH($A182,Data[Dist],0),MATCH(H$4,Data[#Headers],0))</f>
        <v>2843726</v>
      </c>
      <c r="I182" s="22">
        <f>INDEX(Data[],MATCH($A182,Data[Dist],0),MATCH(I$4,Data[#Headers],0))</f>
        <v>3642909</v>
      </c>
      <c r="J182" s="23"/>
    </row>
    <row r="183" spans="1:10" x14ac:dyDescent="0.2">
      <c r="A183" s="20" t="str">
        <f>Data!B179</f>
        <v>4041</v>
      </c>
      <c r="B183" s="21" t="str">
        <f>INDEX(Data[],MATCH($A183,Data[Dist],0),MATCH(B$4,Data[#Headers],0))</f>
        <v>Maquoketa</v>
      </c>
      <c r="C183" s="22">
        <f>INDEX(Data[],MATCH($A183,Data[Dist],0),MATCH(C$4,Data[#Headers],0))</f>
        <v>180976</v>
      </c>
      <c r="D183" s="22">
        <f>INDEX(Data[],MATCH($A183,Data[Dist],0),MATCH(D$4,Data[#Headers],0))</f>
        <v>825831</v>
      </c>
      <c r="E183" s="22">
        <f>INDEX(Data[],MATCH($A183,Data[Dist],0),MATCH(E$4,Data[#Headers],0))</f>
        <v>99072</v>
      </c>
      <c r="F183" s="22">
        <f>INDEX(Data[],MATCH($A183,Data[Dist],0),MATCH(F$4,Data[#Headers],0))</f>
        <v>96536</v>
      </c>
      <c r="G183" s="22">
        <f>INDEX(Data[],MATCH($A183,Data[Dist],0),MATCH(G$4,Data[#Headers],0))</f>
        <v>440779</v>
      </c>
      <c r="H183" s="22">
        <f>INDEX(Data[],MATCH($A183,Data[Dist],0),MATCH(H$4,Data[#Headers],0))</f>
        <v>7462429</v>
      </c>
      <c r="I183" s="22">
        <f>INDEX(Data[],MATCH($A183,Data[Dist],0),MATCH(I$4,Data[#Headers],0))</f>
        <v>9105623</v>
      </c>
      <c r="J183" s="23"/>
    </row>
    <row r="184" spans="1:10" x14ac:dyDescent="0.2">
      <c r="A184" s="20" t="str">
        <f>Data!B180</f>
        <v>4043</v>
      </c>
      <c r="B184" s="21" t="str">
        <f>INDEX(Data[],MATCH($A184,Data[Dist],0),MATCH(B$4,Data[#Headers],0))</f>
        <v>Maquoketa Valley</v>
      </c>
      <c r="C184" s="22">
        <f>INDEX(Data[],MATCH($A184,Data[Dist],0),MATCH(C$4,Data[#Headers],0))</f>
        <v>124002</v>
      </c>
      <c r="D184" s="22">
        <f>INDEX(Data[],MATCH($A184,Data[Dist],0),MATCH(D$4,Data[#Headers],0))</f>
        <v>410017</v>
      </c>
      <c r="E184" s="22">
        <f>INDEX(Data[],MATCH($A184,Data[Dist],0),MATCH(E$4,Data[#Headers],0))</f>
        <v>43985</v>
      </c>
      <c r="F184" s="22">
        <f>INDEX(Data[],MATCH($A184,Data[Dist],0),MATCH(F$4,Data[#Headers],0))</f>
        <v>45200</v>
      </c>
      <c r="G184" s="22">
        <f>INDEX(Data[],MATCH($A184,Data[Dist],0),MATCH(G$4,Data[#Headers],0))</f>
        <v>225772</v>
      </c>
      <c r="H184" s="22">
        <f>INDEX(Data[],MATCH($A184,Data[Dist],0),MATCH(H$4,Data[#Headers],0))</f>
        <v>2465509</v>
      </c>
      <c r="I184" s="22">
        <f>INDEX(Data[],MATCH($A184,Data[Dist],0),MATCH(I$4,Data[#Headers],0))</f>
        <v>3314485</v>
      </c>
      <c r="J184" s="23"/>
    </row>
    <row r="185" spans="1:10" x14ac:dyDescent="0.2">
      <c r="A185" s="20" t="str">
        <f>Data!B181</f>
        <v>4068</v>
      </c>
      <c r="B185" s="21" t="str">
        <f>INDEX(Data[],MATCH($A185,Data[Dist],0),MATCH(B$4,Data[#Headers],0))</f>
        <v>Marcus-Meriden Cleghorn</v>
      </c>
      <c r="C185" s="22">
        <f>INDEX(Data[],MATCH($A185,Data[Dist],0),MATCH(C$4,Data[#Headers],0))</f>
        <v>100542</v>
      </c>
      <c r="D185" s="22">
        <f>INDEX(Data[],MATCH($A185,Data[Dist],0),MATCH(D$4,Data[#Headers],0))</f>
        <v>264052</v>
      </c>
      <c r="E185" s="22">
        <f>INDEX(Data[],MATCH($A185,Data[Dist],0),MATCH(E$4,Data[#Headers],0))</f>
        <v>21459</v>
      </c>
      <c r="F185" s="22">
        <f>INDEX(Data[],MATCH($A185,Data[Dist],0),MATCH(F$4,Data[#Headers],0))</f>
        <v>27907</v>
      </c>
      <c r="G185" s="22">
        <f>INDEX(Data[],MATCH($A185,Data[Dist],0),MATCH(G$4,Data[#Headers],0))</f>
        <v>139329</v>
      </c>
      <c r="H185" s="22">
        <f>INDEX(Data[],MATCH($A185,Data[Dist],0),MATCH(H$4,Data[#Headers],0))</f>
        <v>1166027</v>
      </c>
      <c r="I185" s="22">
        <f>INDEX(Data[],MATCH($A185,Data[Dist],0),MATCH(I$4,Data[#Headers],0))</f>
        <v>1719316</v>
      </c>
      <c r="J185" s="23"/>
    </row>
    <row r="186" spans="1:10" x14ac:dyDescent="0.2">
      <c r="A186" s="20" t="str">
        <f>Data!B182</f>
        <v>4086</v>
      </c>
      <c r="B186" s="21" t="str">
        <f>INDEX(Data[],MATCH($A186,Data[Dist],0),MATCH(B$4,Data[#Headers],0))</f>
        <v>Marion</v>
      </c>
      <c r="C186" s="22">
        <f>INDEX(Data[],MATCH($A186,Data[Dist],0),MATCH(C$4,Data[#Headers],0))</f>
        <v>341844</v>
      </c>
      <c r="D186" s="22">
        <f>INDEX(Data[],MATCH($A186,Data[Dist],0),MATCH(D$4,Data[#Headers],0))</f>
        <v>1149824</v>
      </c>
      <c r="E186" s="22">
        <f>INDEX(Data[],MATCH($A186,Data[Dist],0),MATCH(E$4,Data[#Headers],0))</f>
        <v>140884</v>
      </c>
      <c r="F186" s="22">
        <f>INDEX(Data[],MATCH($A186,Data[Dist],0),MATCH(F$4,Data[#Headers],0))</f>
        <v>138295</v>
      </c>
      <c r="G186" s="22">
        <f>INDEX(Data[],MATCH($A186,Data[Dist],0),MATCH(G$4,Data[#Headers],0))</f>
        <v>626260</v>
      </c>
      <c r="H186" s="22">
        <f>INDEX(Data[],MATCH($A186,Data[Dist],0),MATCH(H$4,Data[#Headers],0))</f>
        <v>10405787</v>
      </c>
      <c r="I186" s="22">
        <f>INDEX(Data[],MATCH($A186,Data[Dist],0),MATCH(I$4,Data[#Headers],0))</f>
        <v>12802894</v>
      </c>
      <c r="J186" s="23"/>
    </row>
    <row r="187" spans="1:10" x14ac:dyDescent="0.2">
      <c r="A187" s="20" t="str">
        <f>Data!B183</f>
        <v>4104</v>
      </c>
      <c r="B187" s="21" t="str">
        <f>INDEX(Data[],MATCH($A187,Data[Dist],0),MATCH(B$4,Data[#Headers],0))</f>
        <v>Marshalltown</v>
      </c>
      <c r="C187" s="22">
        <f>INDEX(Data[],MATCH($A187,Data[Dist],0),MATCH(C$4,Data[#Headers],0))</f>
        <v>841205</v>
      </c>
      <c r="D187" s="22">
        <f>INDEX(Data[],MATCH($A187,Data[Dist],0),MATCH(D$4,Data[#Headers],0))</f>
        <v>3065492</v>
      </c>
      <c r="E187" s="22">
        <f>INDEX(Data[],MATCH($A187,Data[Dist],0),MATCH(E$4,Data[#Headers],0))</f>
        <v>475809</v>
      </c>
      <c r="F187" s="22">
        <f>INDEX(Data[],MATCH($A187,Data[Dist],0),MATCH(F$4,Data[#Headers],0))</f>
        <v>343279</v>
      </c>
      <c r="G187" s="22">
        <f>INDEX(Data[],MATCH($A187,Data[Dist],0),MATCH(G$4,Data[#Headers],0))</f>
        <v>1782168</v>
      </c>
      <c r="H187" s="22">
        <f>INDEX(Data[],MATCH($A187,Data[Dist],0),MATCH(H$4,Data[#Headers],0))</f>
        <v>33169428</v>
      </c>
      <c r="I187" s="22">
        <f>INDEX(Data[],MATCH($A187,Data[Dist],0),MATCH(I$4,Data[#Headers],0))</f>
        <v>39677381</v>
      </c>
      <c r="J187" s="23"/>
    </row>
    <row r="188" spans="1:10" x14ac:dyDescent="0.2">
      <c r="A188" s="20" t="str">
        <f>Data!B184</f>
        <v>4122</v>
      </c>
      <c r="B188" s="21" t="str">
        <f>INDEX(Data[],MATCH($A188,Data[Dist],0),MATCH(B$4,Data[#Headers],0))</f>
        <v>Martensdale-St Marys</v>
      </c>
      <c r="C188" s="22">
        <f>INDEX(Data[],MATCH($A188,Data[Dist],0),MATCH(C$4,Data[#Headers],0))</f>
        <v>83785</v>
      </c>
      <c r="D188" s="22">
        <f>INDEX(Data[],MATCH($A188,Data[Dist],0),MATCH(D$4,Data[#Headers],0))</f>
        <v>295975</v>
      </c>
      <c r="E188" s="22">
        <f>INDEX(Data[],MATCH($A188,Data[Dist],0),MATCH(E$4,Data[#Headers],0))</f>
        <v>32228</v>
      </c>
      <c r="F188" s="22">
        <f>INDEX(Data[],MATCH($A188,Data[Dist],0),MATCH(F$4,Data[#Headers],0))</f>
        <v>28396</v>
      </c>
      <c r="G188" s="22">
        <f>INDEX(Data[],MATCH($A188,Data[Dist],0),MATCH(G$4,Data[#Headers],0))</f>
        <v>167233</v>
      </c>
      <c r="H188" s="22">
        <f>INDEX(Data[],MATCH($A188,Data[Dist],0),MATCH(H$4,Data[#Headers],0))</f>
        <v>2404207</v>
      </c>
      <c r="I188" s="22">
        <f>INDEX(Data[],MATCH($A188,Data[Dist],0),MATCH(I$4,Data[#Headers],0))</f>
        <v>3011824</v>
      </c>
      <c r="J188" s="23"/>
    </row>
    <row r="189" spans="1:10" x14ac:dyDescent="0.2">
      <c r="A189" s="20" t="str">
        <f>Data!B185</f>
        <v>4131</v>
      </c>
      <c r="B189" s="21" t="str">
        <f>INDEX(Data[],MATCH($A189,Data[Dist],0),MATCH(B$4,Data[#Headers],0))</f>
        <v>Mason City</v>
      </c>
      <c r="C189" s="22">
        <f>INDEX(Data[],MATCH($A189,Data[Dist],0),MATCH(C$4,Data[#Headers],0))</f>
        <v>603255</v>
      </c>
      <c r="D189" s="22">
        <f>INDEX(Data[],MATCH($A189,Data[Dist],0),MATCH(D$4,Data[#Headers],0))</f>
        <v>2100796</v>
      </c>
      <c r="E189" s="22">
        <f>INDEX(Data[],MATCH($A189,Data[Dist],0),MATCH(E$4,Data[#Headers],0))</f>
        <v>282558</v>
      </c>
      <c r="F189" s="22">
        <f>INDEX(Data[],MATCH($A189,Data[Dist],0),MATCH(F$4,Data[#Headers],0))</f>
        <v>249554</v>
      </c>
      <c r="G189" s="22">
        <f>INDEX(Data[],MATCH($A189,Data[Dist],0),MATCH(G$4,Data[#Headers],0))</f>
        <v>1209676</v>
      </c>
      <c r="H189" s="22">
        <f>INDEX(Data[],MATCH($A189,Data[Dist],0),MATCH(H$4,Data[#Headers],0))</f>
        <v>17859663</v>
      </c>
      <c r="I189" s="22">
        <f>INDEX(Data[],MATCH($A189,Data[Dist],0),MATCH(I$4,Data[#Headers],0))</f>
        <v>22305502</v>
      </c>
      <c r="J189" s="23"/>
    </row>
    <row r="190" spans="1:10" x14ac:dyDescent="0.2">
      <c r="A190" s="20" t="str">
        <f>Data!B186</f>
        <v>4149</v>
      </c>
      <c r="B190" s="21" t="str">
        <f>INDEX(Data[],MATCH($A190,Data[Dist],0),MATCH(B$4,Data[#Headers],0))</f>
        <v>Moc-Floyd Valley</v>
      </c>
      <c r="C190" s="22">
        <f>INDEX(Data[],MATCH($A190,Data[Dist],0),MATCH(C$4,Data[#Headers],0))</f>
        <v>207788</v>
      </c>
      <c r="D190" s="22">
        <f>INDEX(Data[],MATCH($A190,Data[Dist],0),MATCH(D$4,Data[#Headers],0))</f>
        <v>820112</v>
      </c>
      <c r="E190" s="22">
        <f>INDEX(Data[],MATCH($A190,Data[Dist],0),MATCH(E$4,Data[#Headers],0))</f>
        <v>94536</v>
      </c>
      <c r="F190" s="22">
        <f>INDEX(Data[],MATCH($A190,Data[Dist],0),MATCH(F$4,Data[#Headers],0))</f>
        <v>98070</v>
      </c>
      <c r="G190" s="22">
        <f>INDEX(Data[],MATCH($A190,Data[Dist],0),MATCH(G$4,Data[#Headers],0))</f>
        <v>469017</v>
      </c>
      <c r="H190" s="22">
        <f>INDEX(Data[],MATCH($A190,Data[Dist],0),MATCH(H$4,Data[#Headers],0))</f>
        <v>6101392</v>
      </c>
      <c r="I190" s="22">
        <f>INDEX(Data[],MATCH($A190,Data[Dist],0),MATCH(I$4,Data[#Headers],0))</f>
        <v>7790915</v>
      </c>
      <c r="J190" s="23"/>
    </row>
    <row r="191" spans="1:10" x14ac:dyDescent="0.2">
      <c r="A191" s="20" t="str">
        <f>Data!B187</f>
        <v>4203</v>
      </c>
      <c r="B191" s="21" t="str">
        <f>INDEX(Data[],MATCH($A191,Data[Dist],0),MATCH(B$4,Data[#Headers],0))</f>
        <v>Mediapolis</v>
      </c>
      <c r="C191" s="22">
        <f>INDEX(Data[],MATCH($A191,Data[Dist],0),MATCH(C$4,Data[#Headers],0))</f>
        <v>0</v>
      </c>
      <c r="D191" s="22">
        <f>INDEX(Data[],MATCH($A191,Data[Dist],0),MATCH(D$4,Data[#Headers],0))</f>
        <v>465038</v>
      </c>
      <c r="E191" s="22">
        <f>INDEX(Data[],MATCH($A191,Data[Dist],0),MATCH(E$4,Data[#Headers],0))</f>
        <v>48350</v>
      </c>
      <c r="F191" s="22">
        <f>INDEX(Data[],MATCH($A191,Data[Dist],0),MATCH(F$4,Data[#Headers],0))</f>
        <v>45779</v>
      </c>
      <c r="G191" s="22">
        <f>INDEX(Data[],MATCH($A191,Data[Dist],0),MATCH(G$4,Data[#Headers],0))</f>
        <v>258196</v>
      </c>
      <c r="H191" s="22">
        <f>INDEX(Data[],MATCH($A191,Data[Dist],0),MATCH(H$4,Data[#Headers],0))</f>
        <v>3357129</v>
      </c>
      <c r="I191" s="22">
        <f>INDEX(Data[],MATCH($A191,Data[Dist],0),MATCH(I$4,Data[#Headers],0))</f>
        <v>4174492</v>
      </c>
      <c r="J191" s="23"/>
    </row>
    <row r="192" spans="1:10" x14ac:dyDescent="0.2">
      <c r="A192" s="20" t="str">
        <f>Data!B188</f>
        <v>4212</v>
      </c>
      <c r="B192" s="21" t="str">
        <f>INDEX(Data[],MATCH($A192,Data[Dist],0),MATCH(B$4,Data[#Headers],0))</f>
        <v>Melcher-Dallas</v>
      </c>
      <c r="C192" s="22">
        <f>INDEX(Data[],MATCH($A192,Data[Dist],0),MATCH(C$4,Data[#Headers],0))</f>
        <v>63677</v>
      </c>
      <c r="D192" s="22">
        <f>INDEX(Data[],MATCH($A192,Data[Dist],0),MATCH(D$4,Data[#Headers],0))</f>
        <v>227952</v>
      </c>
      <c r="E192" s="22">
        <f>INDEX(Data[],MATCH($A192,Data[Dist],0),MATCH(E$4,Data[#Headers],0))</f>
        <v>28127</v>
      </c>
      <c r="F192" s="22">
        <f>INDEX(Data[],MATCH($A192,Data[Dist],0),MATCH(F$4,Data[#Headers],0))</f>
        <v>23605</v>
      </c>
      <c r="G192" s="22">
        <f>INDEX(Data[],MATCH($A192,Data[Dist],0),MATCH(G$4,Data[#Headers],0))</f>
        <v>110914</v>
      </c>
      <c r="H192" s="22">
        <f>INDEX(Data[],MATCH($A192,Data[Dist],0),MATCH(H$4,Data[#Headers],0))</f>
        <v>1833511</v>
      </c>
      <c r="I192" s="22">
        <f>INDEX(Data[],MATCH($A192,Data[Dist],0),MATCH(I$4,Data[#Headers],0))</f>
        <v>2287786</v>
      </c>
      <c r="J192" s="23"/>
    </row>
    <row r="193" spans="1:10" x14ac:dyDescent="0.2">
      <c r="A193" s="20" t="str">
        <f>Data!B189</f>
        <v>4269</v>
      </c>
      <c r="B193" s="21" t="str">
        <f>INDEX(Data[],MATCH($A193,Data[Dist],0),MATCH(B$4,Data[#Headers],0))</f>
        <v>Midland</v>
      </c>
      <c r="C193" s="22">
        <f>INDEX(Data[],MATCH($A193,Data[Dist],0),MATCH(C$4,Data[#Headers],0))</f>
        <v>80434</v>
      </c>
      <c r="D193" s="22">
        <f>INDEX(Data[],MATCH($A193,Data[Dist],0),MATCH(D$4,Data[#Headers],0))</f>
        <v>343119</v>
      </c>
      <c r="E193" s="22">
        <f>INDEX(Data[],MATCH($A193,Data[Dist],0),MATCH(E$4,Data[#Headers],0))</f>
        <v>36132</v>
      </c>
      <c r="F193" s="22">
        <f>INDEX(Data[],MATCH($A193,Data[Dist],0),MATCH(F$4,Data[#Headers],0))</f>
        <v>34081</v>
      </c>
      <c r="G193" s="22">
        <f>INDEX(Data[],MATCH($A193,Data[Dist],0),MATCH(G$4,Data[#Headers],0))</f>
        <v>178736</v>
      </c>
      <c r="H193" s="22">
        <f>INDEX(Data[],MATCH($A193,Data[Dist],0),MATCH(H$4,Data[#Headers],0))</f>
        <v>2269114</v>
      </c>
      <c r="I193" s="22">
        <f>INDEX(Data[],MATCH($A193,Data[Dist],0),MATCH(I$4,Data[#Headers],0))</f>
        <v>2941616</v>
      </c>
      <c r="J193" s="23"/>
    </row>
    <row r="194" spans="1:10" x14ac:dyDescent="0.2">
      <c r="A194" s="20" t="str">
        <f>Data!B190</f>
        <v>4271</v>
      </c>
      <c r="B194" s="21" t="str">
        <f>INDEX(Data[],MATCH($A194,Data[Dist],0),MATCH(B$4,Data[#Headers],0))</f>
        <v>Mid-Prairie</v>
      </c>
      <c r="C194" s="22">
        <f>INDEX(Data[],MATCH($A194,Data[Dist],0),MATCH(C$4,Data[#Headers],0))</f>
        <v>321736</v>
      </c>
      <c r="D194" s="22">
        <f>INDEX(Data[],MATCH($A194,Data[Dist],0),MATCH(D$4,Data[#Headers],0))</f>
        <v>745486</v>
      </c>
      <c r="E194" s="22">
        <f>INDEX(Data[],MATCH($A194,Data[Dist],0),MATCH(E$4,Data[#Headers],0))</f>
        <v>83513</v>
      </c>
      <c r="F194" s="22">
        <f>INDEX(Data[],MATCH($A194,Data[Dist],0),MATCH(F$4,Data[#Headers],0))</f>
        <v>81166</v>
      </c>
      <c r="G194" s="22">
        <f>INDEX(Data[],MATCH($A194,Data[Dist],0),MATCH(G$4,Data[#Headers],0))</f>
        <v>407701</v>
      </c>
      <c r="H194" s="22">
        <f>INDEX(Data[],MATCH($A194,Data[Dist],0),MATCH(H$4,Data[#Headers],0))</f>
        <v>5844893</v>
      </c>
      <c r="I194" s="22">
        <f>INDEX(Data[],MATCH($A194,Data[Dist],0),MATCH(I$4,Data[#Headers],0))</f>
        <v>7484495</v>
      </c>
      <c r="J194" s="23"/>
    </row>
    <row r="195" spans="1:10" x14ac:dyDescent="0.2">
      <c r="A195" s="20" t="str">
        <f>Data!B191</f>
        <v>4356</v>
      </c>
      <c r="B195" s="21" t="str">
        <f>INDEX(Data[],MATCH($A195,Data[Dist],0),MATCH(B$4,Data[#Headers],0))</f>
        <v>Missouri Valley</v>
      </c>
      <c r="C195" s="22">
        <f>INDEX(Data[],MATCH($A195,Data[Dist],0),MATCH(C$4,Data[#Headers],0))</f>
        <v>134057</v>
      </c>
      <c r="D195" s="22">
        <f>INDEX(Data[],MATCH($A195,Data[Dist],0),MATCH(D$4,Data[#Headers],0))</f>
        <v>463483</v>
      </c>
      <c r="E195" s="22">
        <f>INDEX(Data[],MATCH($A195,Data[Dist],0),MATCH(E$4,Data[#Headers],0))</f>
        <v>54484</v>
      </c>
      <c r="F195" s="22">
        <f>INDEX(Data[],MATCH($A195,Data[Dist],0),MATCH(F$4,Data[#Headers],0))</f>
        <v>46173</v>
      </c>
      <c r="G195" s="22">
        <f>INDEX(Data[],MATCH($A195,Data[Dist],0),MATCH(G$4,Data[#Headers],0))</f>
        <v>272226</v>
      </c>
      <c r="H195" s="22">
        <f>INDEX(Data[],MATCH($A195,Data[Dist],0),MATCH(H$4,Data[#Headers],0))</f>
        <v>4054345</v>
      </c>
      <c r="I195" s="22">
        <f>INDEX(Data[],MATCH($A195,Data[Dist],0),MATCH(I$4,Data[#Headers],0))</f>
        <v>5024768</v>
      </c>
      <c r="J195" s="23"/>
    </row>
    <row r="196" spans="1:10" x14ac:dyDescent="0.2">
      <c r="A196" s="20" t="str">
        <f>Data!B192</f>
        <v>4419</v>
      </c>
      <c r="B196" s="21" t="str">
        <f>INDEX(Data[],MATCH($A196,Data[Dist],0),MATCH(B$4,Data[#Headers],0))</f>
        <v>MFL Mar Mac</v>
      </c>
      <c r="C196" s="22">
        <f>INDEX(Data[],MATCH($A196,Data[Dist],0),MATCH(C$4,Data[#Headers],0))</f>
        <v>150814</v>
      </c>
      <c r="D196" s="22">
        <f>INDEX(Data[],MATCH($A196,Data[Dist],0),MATCH(D$4,Data[#Headers],0))</f>
        <v>459148</v>
      </c>
      <c r="E196" s="22">
        <f>INDEX(Data[],MATCH($A196,Data[Dist],0),MATCH(E$4,Data[#Headers],0))</f>
        <v>56501</v>
      </c>
      <c r="F196" s="22">
        <f>INDEX(Data[],MATCH($A196,Data[Dist],0),MATCH(F$4,Data[#Headers],0))</f>
        <v>55740</v>
      </c>
      <c r="G196" s="22">
        <f>INDEX(Data[],MATCH($A196,Data[Dist],0),MATCH(G$4,Data[#Headers],0))</f>
        <v>251310</v>
      </c>
      <c r="H196" s="22">
        <f>INDEX(Data[],MATCH($A196,Data[Dist],0),MATCH(H$4,Data[#Headers],0))</f>
        <v>3614505</v>
      </c>
      <c r="I196" s="22">
        <f>INDEX(Data[],MATCH($A196,Data[Dist],0),MATCH(I$4,Data[#Headers],0))</f>
        <v>4588018</v>
      </c>
      <c r="J196" s="23"/>
    </row>
    <row r="197" spans="1:10" x14ac:dyDescent="0.2">
      <c r="A197" s="20" t="str">
        <f>Data!B193</f>
        <v>4437</v>
      </c>
      <c r="B197" s="21" t="str">
        <f>INDEX(Data[],MATCH($A197,Data[Dist],0),MATCH(B$4,Data[#Headers],0))</f>
        <v>Montezuma</v>
      </c>
      <c r="C197" s="22">
        <f>INDEX(Data[],MATCH($A197,Data[Dist],0),MATCH(C$4,Data[#Headers],0))</f>
        <v>93840</v>
      </c>
      <c r="D197" s="22">
        <f>INDEX(Data[],MATCH($A197,Data[Dist],0),MATCH(D$4,Data[#Headers],0))</f>
        <v>286121</v>
      </c>
      <c r="E197" s="22">
        <f>INDEX(Data[],MATCH($A197,Data[Dist],0),MATCH(E$4,Data[#Headers],0))</f>
        <v>36823</v>
      </c>
      <c r="F197" s="22">
        <f>INDEX(Data[],MATCH($A197,Data[Dist],0),MATCH(F$4,Data[#Headers],0))</f>
        <v>27883</v>
      </c>
      <c r="G197" s="22">
        <f>INDEX(Data[],MATCH($A197,Data[Dist],0),MATCH(G$4,Data[#Headers],0))</f>
        <v>170105</v>
      </c>
      <c r="H197" s="22">
        <f>INDEX(Data[],MATCH($A197,Data[Dist],0),MATCH(H$4,Data[#Headers],0))</f>
        <v>1680803</v>
      </c>
      <c r="I197" s="22">
        <f>INDEX(Data[],MATCH($A197,Data[Dist],0),MATCH(I$4,Data[#Headers],0))</f>
        <v>2295575</v>
      </c>
      <c r="J197" s="23"/>
    </row>
    <row r="198" spans="1:10" x14ac:dyDescent="0.2">
      <c r="A198" s="20" t="str">
        <f>Data!B194</f>
        <v>4446</v>
      </c>
      <c r="B198" s="21" t="str">
        <f>INDEX(Data[],MATCH($A198,Data[Dist],0),MATCH(B$4,Data[#Headers],0))</f>
        <v>Monticello</v>
      </c>
      <c r="C198" s="22">
        <f>INDEX(Data[],MATCH($A198,Data[Dist],0),MATCH(C$4,Data[#Headers],0))</f>
        <v>187679</v>
      </c>
      <c r="D198" s="22">
        <f>INDEX(Data[],MATCH($A198,Data[Dist],0),MATCH(D$4,Data[#Headers],0))</f>
        <v>595337</v>
      </c>
      <c r="E198" s="22">
        <f>INDEX(Data[],MATCH($A198,Data[Dist],0),MATCH(E$4,Data[#Headers],0))</f>
        <v>62752</v>
      </c>
      <c r="F198" s="22">
        <f>INDEX(Data[],MATCH($A198,Data[Dist],0),MATCH(F$4,Data[#Headers],0))</f>
        <v>58003</v>
      </c>
      <c r="G198" s="22">
        <f>INDEX(Data[],MATCH($A198,Data[Dist],0),MATCH(G$4,Data[#Headers],0))</f>
        <v>331578</v>
      </c>
      <c r="H198" s="22">
        <f>INDEX(Data[],MATCH($A198,Data[Dist],0),MATCH(H$4,Data[#Headers],0))</f>
        <v>4661728</v>
      </c>
      <c r="I198" s="22">
        <f>INDEX(Data[],MATCH($A198,Data[Dist],0),MATCH(I$4,Data[#Headers],0))</f>
        <v>5897077</v>
      </c>
      <c r="J198" s="23"/>
    </row>
    <row r="199" spans="1:10" x14ac:dyDescent="0.2">
      <c r="A199" s="20" t="str">
        <f>Data!B195</f>
        <v>4491</v>
      </c>
      <c r="B199" s="21" t="str">
        <f>INDEX(Data[],MATCH($A199,Data[Dist],0),MATCH(B$4,Data[#Headers],0))</f>
        <v>Moravia</v>
      </c>
      <c r="C199" s="22">
        <f>INDEX(Data[],MATCH($A199,Data[Dist],0),MATCH(C$4,Data[#Headers],0))</f>
        <v>63677</v>
      </c>
      <c r="D199" s="22">
        <f>INDEX(Data[],MATCH($A199,Data[Dist],0),MATCH(D$4,Data[#Headers],0))</f>
        <v>230731</v>
      </c>
      <c r="E199" s="22">
        <f>INDEX(Data[],MATCH($A199,Data[Dist],0),MATCH(E$4,Data[#Headers],0))</f>
        <v>28788</v>
      </c>
      <c r="F199" s="22">
        <f>INDEX(Data[],MATCH($A199,Data[Dist],0),MATCH(F$4,Data[#Headers],0))</f>
        <v>25871</v>
      </c>
      <c r="G199" s="22">
        <f>INDEX(Data[],MATCH($A199,Data[Dist],0),MATCH(G$4,Data[#Headers],0))</f>
        <v>112447</v>
      </c>
      <c r="H199" s="22">
        <f>INDEX(Data[],MATCH($A199,Data[Dist],0),MATCH(H$4,Data[#Headers],0))</f>
        <v>1785749</v>
      </c>
      <c r="I199" s="22">
        <f>INDEX(Data[],MATCH($A199,Data[Dist],0),MATCH(I$4,Data[#Headers],0))</f>
        <v>2247263</v>
      </c>
      <c r="J199" s="23"/>
    </row>
    <row r="200" spans="1:10" x14ac:dyDescent="0.2">
      <c r="A200" s="20" t="str">
        <f>Data!B196</f>
        <v>4505</v>
      </c>
      <c r="B200" s="21" t="str">
        <f>INDEX(Data[],MATCH($A200,Data[Dist],0),MATCH(B$4,Data[#Headers],0))</f>
        <v>Mormon Trail</v>
      </c>
      <c r="C200" s="22">
        <f>INDEX(Data[],MATCH($A200,Data[Dist],0),MATCH(C$4,Data[#Headers],0))</f>
        <v>50271</v>
      </c>
      <c r="D200" s="22">
        <f>INDEX(Data[],MATCH($A200,Data[Dist],0),MATCH(D$4,Data[#Headers],0))</f>
        <v>159282</v>
      </c>
      <c r="E200" s="22">
        <f>INDEX(Data[],MATCH($A200,Data[Dist],0),MATCH(E$4,Data[#Headers],0))</f>
        <v>18577</v>
      </c>
      <c r="F200" s="22">
        <f>INDEX(Data[],MATCH($A200,Data[Dist],0),MATCH(F$4,Data[#Headers],0))</f>
        <v>14568</v>
      </c>
      <c r="G200" s="22">
        <f>INDEX(Data[],MATCH($A200,Data[Dist],0),MATCH(G$4,Data[#Headers],0))</f>
        <v>87208</v>
      </c>
      <c r="H200" s="22">
        <f>INDEX(Data[],MATCH($A200,Data[Dist],0),MATCH(H$4,Data[#Headers],0))</f>
        <v>1450882</v>
      </c>
      <c r="I200" s="22">
        <f>INDEX(Data[],MATCH($A200,Data[Dist],0),MATCH(I$4,Data[#Headers],0))</f>
        <v>1780788</v>
      </c>
      <c r="J200" s="23"/>
    </row>
    <row r="201" spans="1:10" x14ac:dyDescent="0.2">
      <c r="A201" s="20" t="str">
        <f>Data!B197</f>
        <v>4509</v>
      </c>
      <c r="B201" s="21" t="str">
        <f>INDEX(Data[],MATCH($A201,Data[Dist],0),MATCH(B$4,Data[#Headers],0))</f>
        <v>Morning Sun</v>
      </c>
      <c r="C201" s="22">
        <f>INDEX(Data[],MATCH($A201,Data[Dist],0),MATCH(C$4,Data[#Headers],0))</f>
        <v>56974</v>
      </c>
      <c r="D201" s="22">
        <f>INDEX(Data[],MATCH($A201,Data[Dist],0),MATCH(D$4,Data[#Headers],0))</f>
        <v>126245</v>
      </c>
      <c r="E201" s="22">
        <f>INDEX(Data[],MATCH($A201,Data[Dist],0),MATCH(E$4,Data[#Headers],0))</f>
        <v>18425</v>
      </c>
      <c r="F201" s="22">
        <f>INDEX(Data[],MATCH($A201,Data[Dist],0),MATCH(F$4,Data[#Headers],0))</f>
        <v>13807</v>
      </c>
      <c r="G201" s="22">
        <f>INDEX(Data[],MATCH($A201,Data[Dist],0),MATCH(G$4,Data[#Headers],0))</f>
        <v>68986</v>
      </c>
      <c r="H201" s="22">
        <f>INDEX(Data[],MATCH($A201,Data[Dist],0),MATCH(H$4,Data[#Headers],0))</f>
        <v>1072892</v>
      </c>
      <c r="I201" s="22">
        <f>INDEX(Data[],MATCH($A201,Data[Dist],0),MATCH(I$4,Data[#Headers],0))</f>
        <v>1357329</v>
      </c>
      <c r="J201" s="23"/>
    </row>
    <row r="202" spans="1:10" x14ac:dyDescent="0.2">
      <c r="A202" s="20" t="str">
        <f>Data!B198</f>
        <v>4518</v>
      </c>
      <c r="B202" s="21" t="str">
        <f>INDEX(Data[],MATCH($A202,Data[Dist],0),MATCH(B$4,Data[#Headers],0))</f>
        <v>Moulton-Udell</v>
      </c>
      <c r="C202" s="22">
        <f>INDEX(Data[],MATCH($A202,Data[Dist],0),MATCH(C$4,Data[#Headers],0))</f>
        <v>33514</v>
      </c>
      <c r="D202" s="22">
        <f>INDEX(Data[],MATCH($A202,Data[Dist],0),MATCH(D$4,Data[#Headers],0))</f>
        <v>142927</v>
      </c>
      <c r="E202" s="22">
        <f>INDEX(Data[],MATCH($A202,Data[Dist],0),MATCH(E$4,Data[#Headers],0))</f>
        <v>16510</v>
      </c>
      <c r="F202" s="22">
        <f>INDEX(Data[],MATCH($A202,Data[Dist],0),MATCH(F$4,Data[#Headers],0))</f>
        <v>14689</v>
      </c>
      <c r="G202" s="22">
        <f>INDEX(Data[],MATCH($A202,Data[Dist],0),MATCH(G$4,Data[#Headers],0))</f>
        <v>71928</v>
      </c>
      <c r="H202" s="22">
        <f>INDEX(Data[],MATCH($A202,Data[Dist],0),MATCH(H$4,Data[#Headers],0))</f>
        <v>1134968</v>
      </c>
      <c r="I202" s="22">
        <f>INDEX(Data[],MATCH($A202,Data[Dist],0),MATCH(I$4,Data[#Headers],0))</f>
        <v>1414536</v>
      </c>
      <c r="J202" s="23"/>
    </row>
    <row r="203" spans="1:10" x14ac:dyDescent="0.2">
      <c r="A203" s="20" t="str">
        <f>Data!B199</f>
        <v>4527</v>
      </c>
      <c r="B203" s="21" t="str">
        <f>INDEX(Data[],MATCH($A203,Data[Dist],0),MATCH(B$4,Data[#Headers],0))</f>
        <v>Mount Ayr</v>
      </c>
      <c r="C203" s="22">
        <f>INDEX(Data[],MATCH($A203,Data[Dist],0),MATCH(C$4,Data[#Headers],0))</f>
        <v>93840</v>
      </c>
      <c r="D203" s="22">
        <f>INDEX(Data[],MATCH($A203,Data[Dist],0),MATCH(D$4,Data[#Headers],0))</f>
        <v>416046</v>
      </c>
      <c r="E203" s="22">
        <f>INDEX(Data[],MATCH($A203,Data[Dist],0),MATCH(E$4,Data[#Headers],0))</f>
        <v>48134</v>
      </c>
      <c r="F203" s="22">
        <f>INDEX(Data[],MATCH($A203,Data[Dist],0),MATCH(F$4,Data[#Headers],0))</f>
        <v>51738</v>
      </c>
      <c r="G203" s="22">
        <f>INDEX(Data[],MATCH($A203,Data[Dist],0),MATCH(G$4,Data[#Headers],0))</f>
        <v>206054</v>
      </c>
      <c r="H203" s="22">
        <f>INDEX(Data[],MATCH($A203,Data[Dist],0),MATCH(H$4,Data[#Headers],0))</f>
        <v>2726932</v>
      </c>
      <c r="I203" s="22">
        <f>INDEX(Data[],MATCH($A203,Data[Dist],0),MATCH(I$4,Data[#Headers],0))</f>
        <v>3542744</v>
      </c>
      <c r="J203" s="23"/>
    </row>
    <row r="204" spans="1:10" x14ac:dyDescent="0.2">
      <c r="A204" s="20" t="str">
        <f>Data!B200</f>
        <v>4536</v>
      </c>
      <c r="B204" s="21" t="str">
        <f>INDEX(Data[],MATCH($A204,Data[Dist],0),MATCH(B$4,Data[#Headers],0))</f>
        <v>Mount Pleasant</v>
      </c>
      <c r="C204" s="22">
        <f>INDEX(Data[],MATCH($A204,Data[Dist],0),MATCH(C$4,Data[#Headers],0))</f>
        <v>274816</v>
      </c>
      <c r="D204" s="22">
        <f>INDEX(Data[],MATCH($A204,Data[Dist],0),MATCH(D$4,Data[#Headers],0))</f>
        <v>1112572</v>
      </c>
      <c r="E204" s="22">
        <f>INDEX(Data[],MATCH($A204,Data[Dist],0),MATCH(E$4,Data[#Headers],0))</f>
        <v>148356</v>
      </c>
      <c r="F204" s="22">
        <f>INDEX(Data[],MATCH($A204,Data[Dist],0),MATCH(F$4,Data[#Headers],0))</f>
        <v>132890</v>
      </c>
      <c r="G204" s="22">
        <f>INDEX(Data[],MATCH($A204,Data[Dist],0),MATCH(G$4,Data[#Headers],0))</f>
        <v>636907</v>
      </c>
      <c r="H204" s="22">
        <f>INDEX(Data[],MATCH($A204,Data[Dist],0),MATCH(H$4,Data[#Headers],0))</f>
        <v>9870467</v>
      </c>
      <c r="I204" s="22">
        <f>INDEX(Data[],MATCH($A204,Data[Dist],0),MATCH(I$4,Data[#Headers],0))</f>
        <v>12176008</v>
      </c>
      <c r="J204" s="23"/>
    </row>
    <row r="205" spans="1:10" x14ac:dyDescent="0.2">
      <c r="A205" s="20" t="str">
        <f>Data!B201</f>
        <v>4554</v>
      </c>
      <c r="B205" s="21" t="str">
        <f>INDEX(Data[],MATCH($A205,Data[Dist],0),MATCH(B$4,Data[#Headers],0))</f>
        <v>Mount Vernon</v>
      </c>
      <c r="C205" s="22">
        <f>INDEX(Data[],MATCH($A205,Data[Dist],0),MATCH(C$4,Data[#Headers],0))</f>
        <v>224545</v>
      </c>
      <c r="D205" s="22">
        <f>INDEX(Data[],MATCH($A205,Data[Dist],0),MATCH(D$4,Data[#Headers],0))</f>
        <v>658529</v>
      </c>
      <c r="E205" s="22">
        <f>INDEX(Data[],MATCH($A205,Data[Dist],0),MATCH(E$4,Data[#Headers],0))</f>
        <v>80827</v>
      </c>
      <c r="F205" s="22">
        <f>INDEX(Data[],MATCH($A205,Data[Dist],0),MATCH(F$4,Data[#Headers],0))</f>
        <v>74375</v>
      </c>
      <c r="G205" s="22">
        <f>INDEX(Data[],MATCH($A205,Data[Dist],0),MATCH(G$4,Data[#Headers],0))</f>
        <v>366986</v>
      </c>
      <c r="H205" s="22">
        <f>INDEX(Data[],MATCH($A205,Data[Dist],0),MATCH(H$4,Data[#Headers],0))</f>
        <v>5327491</v>
      </c>
      <c r="I205" s="22">
        <f>INDEX(Data[],MATCH($A205,Data[Dist],0),MATCH(I$4,Data[#Headers],0))</f>
        <v>6732753</v>
      </c>
      <c r="J205" s="23"/>
    </row>
    <row r="206" spans="1:10" x14ac:dyDescent="0.2">
      <c r="A206" s="20" t="str">
        <f>Data!B202</f>
        <v>4572</v>
      </c>
      <c r="B206" s="21" t="str">
        <f>INDEX(Data[],MATCH($A206,Data[Dist],0),MATCH(B$4,Data[#Headers],0))</f>
        <v>Murray</v>
      </c>
      <c r="C206" s="22">
        <f>INDEX(Data[],MATCH($A206,Data[Dist],0),MATCH(C$4,Data[#Headers],0))</f>
        <v>56974</v>
      </c>
      <c r="D206" s="22">
        <f>INDEX(Data[],MATCH($A206,Data[Dist],0),MATCH(D$4,Data[#Headers],0))</f>
        <v>179684</v>
      </c>
      <c r="E206" s="22">
        <f>INDEX(Data[],MATCH($A206,Data[Dist],0),MATCH(E$4,Data[#Headers],0))</f>
        <v>21953</v>
      </c>
      <c r="F206" s="22">
        <f>INDEX(Data[],MATCH($A206,Data[Dist],0),MATCH(F$4,Data[#Headers],0))</f>
        <v>17908</v>
      </c>
      <c r="G206" s="22">
        <f>INDEX(Data[],MATCH($A206,Data[Dist],0),MATCH(G$4,Data[#Headers],0))</f>
        <v>85473</v>
      </c>
      <c r="H206" s="22">
        <f>INDEX(Data[],MATCH($A206,Data[Dist],0),MATCH(H$4,Data[#Headers],0))</f>
        <v>1275108</v>
      </c>
      <c r="I206" s="22">
        <f>INDEX(Data[],MATCH($A206,Data[Dist],0),MATCH(I$4,Data[#Headers],0))</f>
        <v>1637100</v>
      </c>
      <c r="J206" s="23"/>
    </row>
    <row r="207" spans="1:10" x14ac:dyDescent="0.2">
      <c r="A207" s="20" t="str">
        <f>Data!B203</f>
        <v>4581</v>
      </c>
      <c r="B207" s="21" t="str">
        <f>INDEX(Data[],MATCH($A207,Data[Dist],0),MATCH(B$4,Data[#Headers],0))</f>
        <v>Muscatine</v>
      </c>
      <c r="C207" s="22">
        <f>INDEX(Data[],MATCH($A207,Data[Dist],0),MATCH(C$4,Data[#Headers],0))</f>
        <v>884774</v>
      </c>
      <c r="D207" s="22">
        <f>INDEX(Data[],MATCH($A207,Data[Dist],0),MATCH(D$4,Data[#Headers],0))</f>
        <v>2856659</v>
      </c>
      <c r="E207" s="22">
        <f>INDEX(Data[],MATCH($A207,Data[Dist],0),MATCH(E$4,Data[#Headers],0))</f>
        <v>383247</v>
      </c>
      <c r="F207" s="22">
        <f>INDEX(Data[],MATCH($A207,Data[Dist],0),MATCH(F$4,Data[#Headers],0))</f>
        <v>312119</v>
      </c>
      <c r="G207" s="22">
        <f>INDEX(Data[],MATCH($A207,Data[Dist],0),MATCH(G$4,Data[#Headers],0))</f>
        <v>1643569</v>
      </c>
      <c r="H207" s="22">
        <f>INDEX(Data[],MATCH($A207,Data[Dist],0),MATCH(H$4,Data[#Headers],0))</f>
        <v>26768156</v>
      </c>
      <c r="I207" s="22">
        <f>INDEX(Data[],MATCH($A207,Data[Dist],0),MATCH(I$4,Data[#Headers],0))</f>
        <v>32848524</v>
      </c>
      <c r="J207" s="23"/>
    </row>
    <row r="208" spans="1:10" x14ac:dyDescent="0.2">
      <c r="A208" s="20" t="str">
        <f>Data!B204</f>
        <v>4599</v>
      </c>
      <c r="B208" s="21" t="str">
        <f>INDEX(Data[],MATCH($A208,Data[Dist],0),MATCH(B$4,Data[#Headers],0))</f>
        <v>Nashua-Plainfield</v>
      </c>
      <c r="C208" s="22">
        <f>INDEX(Data[],MATCH($A208,Data[Dist],0),MATCH(C$4,Data[#Headers],0))</f>
        <v>140759</v>
      </c>
      <c r="D208" s="22">
        <f>INDEX(Data[],MATCH($A208,Data[Dist],0),MATCH(D$4,Data[#Headers],0))</f>
        <v>349927</v>
      </c>
      <c r="E208" s="22">
        <f>INDEX(Data[],MATCH($A208,Data[Dist],0),MATCH(E$4,Data[#Headers],0))</f>
        <v>34830</v>
      </c>
      <c r="F208" s="22">
        <f>INDEX(Data[],MATCH($A208,Data[Dist],0),MATCH(F$4,Data[#Headers],0))</f>
        <v>39748</v>
      </c>
      <c r="G208" s="22">
        <f>INDEX(Data[],MATCH($A208,Data[Dist],0),MATCH(G$4,Data[#Headers],0))</f>
        <v>201494</v>
      </c>
      <c r="H208" s="22">
        <f>INDEX(Data[],MATCH($A208,Data[Dist],0),MATCH(H$4,Data[#Headers],0))</f>
        <v>2780269</v>
      </c>
      <c r="I208" s="22">
        <f>INDEX(Data[],MATCH($A208,Data[Dist],0),MATCH(I$4,Data[#Headers],0))</f>
        <v>3547027</v>
      </c>
      <c r="J208" s="23"/>
    </row>
    <row r="209" spans="1:10" x14ac:dyDescent="0.2">
      <c r="A209" s="20" t="str">
        <f>Data!B205</f>
        <v>4617</v>
      </c>
      <c r="B209" s="21" t="str">
        <f>INDEX(Data[],MATCH($A209,Data[Dist],0),MATCH(B$4,Data[#Headers],0))</f>
        <v>Nevada</v>
      </c>
      <c r="C209" s="22">
        <f>INDEX(Data[],MATCH($A209,Data[Dist],0),MATCH(C$4,Data[#Headers],0))</f>
        <v>278167</v>
      </c>
      <c r="D209" s="22">
        <f>INDEX(Data[],MATCH($A209,Data[Dist],0),MATCH(D$4,Data[#Headers],0))</f>
        <v>884151</v>
      </c>
      <c r="E209" s="22">
        <f>INDEX(Data[],MATCH($A209,Data[Dist],0),MATCH(E$4,Data[#Headers],0))</f>
        <v>120535</v>
      </c>
      <c r="F209" s="22">
        <f>INDEX(Data[],MATCH($A209,Data[Dist],0),MATCH(F$4,Data[#Headers],0))</f>
        <v>107268</v>
      </c>
      <c r="G209" s="22">
        <f>INDEX(Data[],MATCH($A209,Data[Dist],0),MATCH(G$4,Data[#Headers],0))</f>
        <v>500454</v>
      </c>
      <c r="H209" s="22">
        <f>INDEX(Data[],MATCH($A209,Data[Dist],0),MATCH(H$4,Data[#Headers],0))</f>
        <v>7777835</v>
      </c>
      <c r="I209" s="22">
        <f>INDEX(Data[],MATCH($A209,Data[Dist],0),MATCH(I$4,Data[#Headers],0))</f>
        <v>9668410</v>
      </c>
      <c r="J209" s="23"/>
    </row>
    <row r="210" spans="1:10" x14ac:dyDescent="0.2">
      <c r="A210" s="20" t="str">
        <f>Data!B206</f>
        <v>4644</v>
      </c>
      <c r="B210" s="21" t="str">
        <f>INDEX(Data[],MATCH($A210,Data[Dist],0),MATCH(B$4,Data[#Headers],0))</f>
        <v>Newell-Fonda</v>
      </c>
      <c r="C210" s="22">
        <f>INDEX(Data[],MATCH($A210,Data[Dist],0),MATCH(C$4,Data[#Headers],0))</f>
        <v>124002</v>
      </c>
      <c r="D210" s="22">
        <f>INDEX(Data[],MATCH($A210,Data[Dist],0),MATCH(D$4,Data[#Headers],0))</f>
        <v>275168</v>
      </c>
      <c r="E210" s="22">
        <f>INDEX(Data[],MATCH($A210,Data[Dist],0),MATCH(E$4,Data[#Headers],0))</f>
        <v>35395</v>
      </c>
      <c r="F210" s="22">
        <f>INDEX(Data[],MATCH($A210,Data[Dist],0),MATCH(F$4,Data[#Headers],0))</f>
        <v>29383</v>
      </c>
      <c r="G210" s="22">
        <f>INDEX(Data[],MATCH($A210,Data[Dist],0),MATCH(G$4,Data[#Headers],0))</f>
        <v>152196</v>
      </c>
      <c r="H210" s="22">
        <f>INDEX(Data[],MATCH($A210,Data[Dist],0),MATCH(H$4,Data[#Headers],0))</f>
        <v>1656810</v>
      </c>
      <c r="I210" s="22">
        <f>INDEX(Data[],MATCH($A210,Data[Dist],0),MATCH(I$4,Data[#Headers],0))</f>
        <v>2272954</v>
      </c>
      <c r="J210" s="23"/>
    </row>
    <row r="211" spans="1:10" x14ac:dyDescent="0.2">
      <c r="A211" s="20" t="str">
        <f>Data!B207</f>
        <v>4662</v>
      </c>
      <c r="B211" s="21" t="str">
        <f>INDEX(Data[],MATCH($A211,Data[Dist],0),MATCH(B$4,Data[#Headers],0))</f>
        <v>New Hampton</v>
      </c>
      <c r="C211" s="22">
        <f>INDEX(Data[],MATCH($A211,Data[Dist],0),MATCH(C$4,Data[#Headers],0))</f>
        <v>207788</v>
      </c>
      <c r="D211" s="22">
        <f>INDEX(Data[],MATCH($A211,Data[Dist],0),MATCH(D$4,Data[#Headers],0))</f>
        <v>561404</v>
      </c>
      <c r="E211" s="22">
        <f>INDEX(Data[],MATCH($A211,Data[Dist],0),MATCH(E$4,Data[#Headers],0))</f>
        <v>50945</v>
      </c>
      <c r="F211" s="22">
        <f>INDEX(Data[],MATCH($A211,Data[Dist],0),MATCH(F$4,Data[#Headers],0))</f>
        <v>62249</v>
      </c>
      <c r="G211" s="22">
        <f>INDEX(Data[],MATCH($A211,Data[Dist],0),MATCH(G$4,Data[#Headers],0))</f>
        <v>313309</v>
      </c>
      <c r="H211" s="22">
        <f>INDEX(Data[],MATCH($A211,Data[Dist],0),MATCH(H$4,Data[#Headers],0))</f>
        <v>3930117</v>
      </c>
      <c r="I211" s="22">
        <f>INDEX(Data[],MATCH($A211,Data[Dist],0),MATCH(I$4,Data[#Headers],0))</f>
        <v>5125812</v>
      </c>
      <c r="J211" s="23"/>
    </row>
    <row r="212" spans="1:10" x14ac:dyDescent="0.2">
      <c r="A212" s="20" t="str">
        <f>Data!B208</f>
        <v>4689</v>
      </c>
      <c r="B212" s="21" t="str">
        <f>INDEX(Data[],MATCH($A212,Data[Dist],0),MATCH(B$4,Data[#Headers],0))</f>
        <v>New London</v>
      </c>
      <c r="C212" s="22">
        <f>INDEX(Data[],MATCH($A212,Data[Dist],0),MATCH(C$4,Data[#Headers],0))</f>
        <v>46920</v>
      </c>
      <c r="D212" s="22">
        <f>INDEX(Data[],MATCH($A212,Data[Dist],0),MATCH(D$4,Data[#Headers],0))</f>
        <v>301517</v>
      </c>
      <c r="E212" s="22">
        <f>INDEX(Data[],MATCH($A212,Data[Dist],0),MATCH(E$4,Data[#Headers],0))</f>
        <v>35935</v>
      </c>
      <c r="F212" s="22">
        <f>INDEX(Data[],MATCH($A212,Data[Dist],0),MATCH(F$4,Data[#Headers],0))</f>
        <v>31741</v>
      </c>
      <c r="G212" s="22">
        <f>INDEX(Data[],MATCH($A212,Data[Dist],0),MATCH(G$4,Data[#Headers],0))</f>
        <v>163772</v>
      </c>
      <c r="H212" s="22">
        <f>INDEX(Data[],MATCH($A212,Data[Dist],0),MATCH(H$4,Data[#Headers],0))</f>
        <v>2645129</v>
      </c>
      <c r="I212" s="22">
        <f>INDEX(Data[],MATCH($A212,Data[Dist],0),MATCH(I$4,Data[#Headers],0))</f>
        <v>3225014</v>
      </c>
      <c r="J212" s="23"/>
    </row>
    <row r="213" spans="1:10" x14ac:dyDescent="0.2">
      <c r="A213" s="20" t="str">
        <f>Data!B209</f>
        <v>4725</v>
      </c>
      <c r="B213" s="21" t="str">
        <f>INDEX(Data[],MATCH($A213,Data[Dist],0),MATCH(B$4,Data[#Headers],0))</f>
        <v>Newton</v>
      </c>
      <c r="C213" s="22">
        <f>INDEX(Data[],MATCH($A213,Data[Dist],0),MATCH(C$4,Data[#Headers],0))</f>
        <v>304979</v>
      </c>
      <c r="D213" s="22">
        <f>INDEX(Data[],MATCH($A213,Data[Dist],0),MATCH(D$4,Data[#Headers],0))</f>
        <v>1750719</v>
      </c>
      <c r="E213" s="22">
        <f>INDEX(Data[],MATCH($A213,Data[Dist],0),MATCH(E$4,Data[#Headers],0))</f>
        <v>228032</v>
      </c>
      <c r="F213" s="22">
        <f>INDEX(Data[],MATCH($A213,Data[Dist],0),MATCH(F$4,Data[#Headers],0))</f>
        <v>194784</v>
      </c>
      <c r="G213" s="22">
        <f>INDEX(Data[],MATCH($A213,Data[Dist],0),MATCH(G$4,Data[#Headers],0))</f>
        <v>1004216</v>
      </c>
      <c r="H213" s="22">
        <f>INDEX(Data[],MATCH($A213,Data[Dist],0),MATCH(H$4,Data[#Headers],0))</f>
        <v>17063437</v>
      </c>
      <c r="I213" s="22">
        <f>INDEX(Data[],MATCH($A213,Data[Dist],0),MATCH(I$4,Data[#Headers],0))</f>
        <v>20546167</v>
      </c>
      <c r="J213" s="23"/>
    </row>
    <row r="214" spans="1:10" x14ac:dyDescent="0.2">
      <c r="A214" s="20" t="str">
        <f>Data!B210</f>
        <v>4772</v>
      </c>
      <c r="B214" s="21" t="str">
        <f>INDEX(Data[],MATCH($A214,Data[Dist],0),MATCH(B$4,Data[#Headers],0))</f>
        <v>Central Springs</v>
      </c>
      <c r="C214" s="22">
        <f>INDEX(Data[],MATCH($A214,Data[Dist],0),MATCH(C$4,Data[#Headers],0))</f>
        <v>157517</v>
      </c>
      <c r="D214" s="22">
        <f>INDEX(Data[],MATCH($A214,Data[Dist],0),MATCH(D$4,Data[#Headers],0))</f>
        <v>497721</v>
      </c>
      <c r="E214" s="22">
        <f>INDEX(Data[],MATCH($A214,Data[Dist],0),MATCH(E$4,Data[#Headers],0))</f>
        <v>51092</v>
      </c>
      <c r="F214" s="22">
        <f>INDEX(Data[],MATCH($A214,Data[Dist],0),MATCH(F$4,Data[#Headers],0))</f>
        <v>55868</v>
      </c>
      <c r="G214" s="22">
        <f>INDEX(Data[],MATCH($A214,Data[Dist],0),MATCH(G$4,Data[#Headers],0))</f>
        <v>266098</v>
      </c>
      <c r="H214" s="22">
        <f>INDEX(Data[],MATCH($A214,Data[Dist],0),MATCH(H$4,Data[#Headers],0))</f>
        <v>3589296</v>
      </c>
      <c r="I214" s="22">
        <f>INDEX(Data[],MATCH($A214,Data[Dist],0),MATCH(I$4,Data[#Headers],0))</f>
        <v>4617592</v>
      </c>
      <c r="J214" s="23"/>
    </row>
    <row r="215" spans="1:10" x14ac:dyDescent="0.2">
      <c r="A215" s="20" t="str">
        <f>Data!B211</f>
        <v>4773</v>
      </c>
      <c r="B215" s="21" t="str">
        <f>INDEX(Data[],MATCH($A215,Data[Dist],0),MATCH(B$4,Data[#Headers],0))</f>
        <v>Northeast</v>
      </c>
      <c r="C215" s="22">
        <f>INDEX(Data[],MATCH($A215,Data[Dist],0),MATCH(C$4,Data[#Headers],0))</f>
        <v>110597</v>
      </c>
      <c r="D215" s="22">
        <f>INDEX(Data[],MATCH($A215,Data[Dist],0),MATCH(D$4,Data[#Headers],0))</f>
        <v>326846</v>
      </c>
      <c r="E215" s="22">
        <f>INDEX(Data[],MATCH($A215,Data[Dist],0),MATCH(E$4,Data[#Headers],0))</f>
        <v>39494</v>
      </c>
      <c r="F215" s="22">
        <f>INDEX(Data[],MATCH($A215,Data[Dist],0),MATCH(F$4,Data[#Headers],0))</f>
        <v>36850</v>
      </c>
      <c r="G215" s="22">
        <f>INDEX(Data[],MATCH($A215,Data[Dist],0),MATCH(G$4,Data[#Headers],0))</f>
        <v>169620</v>
      </c>
      <c r="H215" s="22">
        <f>INDEX(Data[],MATCH($A215,Data[Dist],0),MATCH(H$4,Data[#Headers],0))</f>
        <v>2152000</v>
      </c>
      <c r="I215" s="22">
        <f>INDEX(Data[],MATCH($A215,Data[Dist],0),MATCH(I$4,Data[#Headers],0))</f>
        <v>2835407</v>
      </c>
      <c r="J215" s="23"/>
    </row>
    <row r="216" spans="1:10" x14ac:dyDescent="0.2">
      <c r="A216" s="20" t="str">
        <f>Data!B212</f>
        <v>4774</v>
      </c>
      <c r="B216" s="21" t="str">
        <f>INDEX(Data[],MATCH($A216,Data[Dist],0),MATCH(B$4,Data[#Headers],0))</f>
        <v>North Fayette Valley</v>
      </c>
      <c r="C216" s="22">
        <f>INDEX(Data[],MATCH($A216,Data[Dist],0),MATCH(C$4,Data[#Headers],0))</f>
        <v>231248</v>
      </c>
      <c r="D216" s="22">
        <f>INDEX(Data[],MATCH($A216,Data[Dist],0),MATCH(D$4,Data[#Headers],0))</f>
        <v>669709</v>
      </c>
      <c r="E216" s="22">
        <f>INDEX(Data[],MATCH($A216,Data[Dist],0),MATCH(E$4,Data[#Headers],0))</f>
        <v>73013</v>
      </c>
      <c r="F216" s="22">
        <f>INDEX(Data[],MATCH($A216,Data[Dist],0),MATCH(F$4,Data[#Headers],0))</f>
        <v>73206</v>
      </c>
      <c r="G216" s="22">
        <f>INDEX(Data[],MATCH($A216,Data[Dist],0),MATCH(G$4,Data[#Headers],0))</f>
        <v>370284</v>
      </c>
      <c r="H216" s="22">
        <f>INDEX(Data[],MATCH($A216,Data[Dist],0),MATCH(H$4,Data[#Headers],0))</f>
        <v>6347796</v>
      </c>
      <c r="I216" s="22">
        <f>INDEX(Data[],MATCH($A216,Data[Dist],0),MATCH(I$4,Data[#Headers],0))</f>
        <v>7765256</v>
      </c>
      <c r="J216" s="23"/>
    </row>
    <row r="217" spans="1:10" x14ac:dyDescent="0.2">
      <c r="A217" s="20" t="str">
        <f>Data!B213</f>
        <v>4775</v>
      </c>
      <c r="B217" s="21" t="str">
        <f>INDEX(Data[],MATCH($A217,Data[Dist],0),MATCH(B$4,Data[#Headers],0))</f>
        <v>Northeast Hamilton</v>
      </c>
      <c r="C217" s="22">
        <f>INDEX(Data[],MATCH($A217,Data[Dist],0),MATCH(C$4,Data[#Headers],0))</f>
        <v>20108</v>
      </c>
      <c r="D217" s="22">
        <f>INDEX(Data[],MATCH($A217,Data[Dist],0),MATCH(D$4,Data[#Headers],0))</f>
        <v>128974</v>
      </c>
      <c r="E217" s="22">
        <f>INDEX(Data[],MATCH($A217,Data[Dist],0),MATCH(E$4,Data[#Headers],0))</f>
        <v>12937</v>
      </c>
      <c r="F217" s="22">
        <f>INDEX(Data[],MATCH($A217,Data[Dist],0),MATCH(F$4,Data[#Headers],0))</f>
        <v>13823</v>
      </c>
      <c r="G217" s="22">
        <f>INDEX(Data[],MATCH($A217,Data[Dist],0),MATCH(G$4,Data[#Headers],0))</f>
        <v>63135</v>
      </c>
      <c r="H217" s="22">
        <f>INDEX(Data[],MATCH($A217,Data[Dist],0),MATCH(H$4,Data[#Headers],0))</f>
        <v>328582</v>
      </c>
      <c r="I217" s="22">
        <f>INDEX(Data[],MATCH($A217,Data[Dist],0),MATCH(I$4,Data[#Headers],0))</f>
        <v>567559</v>
      </c>
      <c r="J217" s="23"/>
    </row>
    <row r="218" spans="1:10" x14ac:dyDescent="0.2">
      <c r="A218" s="20" t="str">
        <f>Data!B214</f>
        <v>4776</v>
      </c>
      <c r="B218" s="21" t="str">
        <f>INDEX(Data[],MATCH($A218,Data[Dist],0),MATCH(B$4,Data[#Headers],0))</f>
        <v>North Mahaska</v>
      </c>
      <c r="C218" s="22">
        <f>INDEX(Data[],MATCH($A218,Data[Dist],0),MATCH(C$4,Data[#Headers],0))</f>
        <v>100542</v>
      </c>
      <c r="D218" s="22">
        <f>INDEX(Data[],MATCH($A218,Data[Dist],0),MATCH(D$4,Data[#Headers],0))</f>
        <v>307575</v>
      </c>
      <c r="E218" s="22">
        <f>INDEX(Data[],MATCH($A218,Data[Dist],0),MATCH(E$4,Data[#Headers],0))</f>
        <v>38681</v>
      </c>
      <c r="F218" s="22">
        <f>INDEX(Data[],MATCH($A218,Data[Dist],0),MATCH(F$4,Data[#Headers],0))</f>
        <v>33016</v>
      </c>
      <c r="G218" s="22">
        <f>INDEX(Data[],MATCH($A218,Data[Dist],0),MATCH(G$4,Data[#Headers],0))</f>
        <v>164706</v>
      </c>
      <c r="H218" s="22">
        <f>INDEX(Data[],MATCH($A218,Data[Dist],0),MATCH(H$4,Data[#Headers],0))</f>
        <v>2007833</v>
      </c>
      <c r="I218" s="22">
        <f>INDEX(Data[],MATCH($A218,Data[Dist],0),MATCH(I$4,Data[#Headers],0))</f>
        <v>2652353</v>
      </c>
      <c r="J218" s="23"/>
    </row>
    <row r="219" spans="1:10" x14ac:dyDescent="0.2">
      <c r="A219" s="20" t="str">
        <f>Data!B215</f>
        <v>4777</v>
      </c>
      <c r="B219" s="21" t="str">
        <f>INDEX(Data[],MATCH($A219,Data[Dist],0),MATCH(B$4,Data[#Headers],0))</f>
        <v>North Linn</v>
      </c>
      <c r="C219" s="22">
        <f>INDEX(Data[],MATCH($A219,Data[Dist],0),MATCH(C$4,Data[#Headers],0))</f>
        <v>124002</v>
      </c>
      <c r="D219" s="22">
        <f>INDEX(Data[],MATCH($A219,Data[Dist],0),MATCH(D$4,Data[#Headers],0))</f>
        <v>362425</v>
      </c>
      <c r="E219" s="22">
        <f>INDEX(Data[],MATCH($A219,Data[Dist],0),MATCH(E$4,Data[#Headers],0))</f>
        <v>37606</v>
      </c>
      <c r="F219" s="22">
        <f>INDEX(Data[],MATCH($A219,Data[Dist],0),MATCH(F$4,Data[#Headers],0))</f>
        <v>37780</v>
      </c>
      <c r="G219" s="22">
        <f>INDEX(Data[],MATCH($A219,Data[Dist],0),MATCH(G$4,Data[#Headers],0))</f>
        <v>207281</v>
      </c>
      <c r="H219" s="22">
        <f>INDEX(Data[],MATCH($A219,Data[Dist],0),MATCH(H$4,Data[#Headers],0))</f>
        <v>2664141</v>
      </c>
      <c r="I219" s="22">
        <f>INDEX(Data[],MATCH($A219,Data[Dist],0),MATCH(I$4,Data[#Headers],0))</f>
        <v>3433235</v>
      </c>
      <c r="J219" s="23"/>
    </row>
    <row r="220" spans="1:10" x14ac:dyDescent="0.2">
      <c r="A220" s="20" t="str">
        <f>Data!B216</f>
        <v>4778</v>
      </c>
      <c r="B220" s="21" t="str">
        <f>INDEX(Data[],MATCH($A220,Data[Dist],0),MATCH(B$4,Data[#Headers],0))</f>
        <v>North Kossuth</v>
      </c>
      <c r="C220" s="22">
        <f>INDEX(Data[],MATCH($A220,Data[Dist],0),MATCH(C$4,Data[#Headers],0))</f>
        <v>73731</v>
      </c>
      <c r="D220" s="22">
        <f>INDEX(Data[],MATCH($A220,Data[Dist],0),MATCH(D$4,Data[#Headers],0))</f>
        <v>168519</v>
      </c>
      <c r="E220" s="22">
        <f>INDEX(Data[],MATCH($A220,Data[Dist],0),MATCH(E$4,Data[#Headers],0))</f>
        <v>16832</v>
      </c>
      <c r="F220" s="22">
        <f>INDEX(Data[],MATCH($A220,Data[Dist],0),MATCH(F$4,Data[#Headers],0))</f>
        <v>18852</v>
      </c>
      <c r="G220" s="22">
        <f>INDEX(Data[],MATCH($A220,Data[Dist],0),MATCH(G$4,Data[#Headers],0))</f>
        <v>92008</v>
      </c>
      <c r="H220" s="22">
        <f>INDEX(Data[],MATCH($A220,Data[Dist],0),MATCH(H$4,Data[#Headers],0))</f>
        <v>795883</v>
      </c>
      <c r="I220" s="22">
        <f>INDEX(Data[],MATCH($A220,Data[Dist],0),MATCH(I$4,Data[#Headers],0))</f>
        <v>1165825</v>
      </c>
      <c r="J220" s="23"/>
    </row>
    <row r="221" spans="1:10" x14ac:dyDescent="0.2">
      <c r="A221" s="20" t="str">
        <f>Data!B217</f>
        <v>4779</v>
      </c>
      <c r="B221" s="21" t="str">
        <f>INDEX(Data[],MATCH($A221,Data[Dist],0),MATCH(B$4,Data[#Headers],0))</f>
        <v>North Polk</v>
      </c>
      <c r="C221" s="22">
        <f>INDEX(Data[],MATCH($A221,Data[Dist],0),MATCH(C$4,Data[#Headers],0))</f>
        <v>355250</v>
      </c>
      <c r="D221" s="22">
        <f>INDEX(Data[],MATCH($A221,Data[Dist],0),MATCH(D$4,Data[#Headers],0))</f>
        <v>909104</v>
      </c>
      <c r="E221" s="22">
        <f>INDEX(Data[],MATCH($A221,Data[Dist],0),MATCH(E$4,Data[#Headers],0))</f>
        <v>93137</v>
      </c>
      <c r="F221" s="22">
        <f>INDEX(Data[],MATCH($A221,Data[Dist],0),MATCH(F$4,Data[#Headers],0))</f>
        <v>94517</v>
      </c>
      <c r="G221" s="22">
        <f>INDEX(Data[],MATCH($A221,Data[Dist],0),MATCH(G$4,Data[#Headers],0))</f>
        <v>549793</v>
      </c>
      <c r="H221" s="22">
        <f>INDEX(Data[],MATCH($A221,Data[Dist],0),MATCH(H$4,Data[#Headers],0))</f>
        <v>8197591</v>
      </c>
      <c r="I221" s="22">
        <f>INDEX(Data[],MATCH($A221,Data[Dist],0),MATCH(I$4,Data[#Headers],0))</f>
        <v>10199392</v>
      </c>
      <c r="J221" s="23"/>
    </row>
    <row r="222" spans="1:10" x14ac:dyDescent="0.2">
      <c r="A222" s="20" t="str">
        <f>Data!B218</f>
        <v>4784</v>
      </c>
      <c r="B222" s="21" t="str">
        <f>INDEX(Data[],MATCH($A222,Data[Dist],0),MATCH(B$4,Data[#Headers],0))</f>
        <v>North Scott</v>
      </c>
      <c r="C222" s="22">
        <f>INDEX(Data[],MATCH($A222,Data[Dist],0),MATCH(C$4,Data[#Headers],0))</f>
        <v>546281</v>
      </c>
      <c r="D222" s="22">
        <f>INDEX(Data[],MATCH($A222,Data[Dist],0),MATCH(D$4,Data[#Headers],0))</f>
        <v>1732162</v>
      </c>
      <c r="E222" s="22">
        <f>INDEX(Data[],MATCH($A222,Data[Dist],0),MATCH(E$4,Data[#Headers],0))</f>
        <v>187235</v>
      </c>
      <c r="F222" s="22">
        <f>INDEX(Data[],MATCH($A222,Data[Dist],0),MATCH(F$4,Data[#Headers],0))</f>
        <v>194216</v>
      </c>
      <c r="G222" s="22">
        <f>INDEX(Data[],MATCH($A222,Data[Dist],0),MATCH(G$4,Data[#Headers],0))</f>
        <v>990960</v>
      </c>
      <c r="H222" s="22">
        <f>INDEX(Data[],MATCH($A222,Data[Dist],0),MATCH(H$4,Data[#Headers],0))</f>
        <v>13519881</v>
      </c>
      <c r="I222" s="22">
        <f>INDEX(Data[],MATCH($A222,Data[Dist],0),MATCH(I$4,Data[#Headers],0))</f>
        <v>17170735</v>
      </c>
      <c r="J222" s="23"/>
    </row>
    <row r="223" spans="1:10" x14ac:dyDescent="0.2">
      <c r="A223" s="20" t="str">
        <f>Data!B219</f>
        <v>4785</v>
      </c>
      <c r="B223" s="21" t="str">
        <f>INDEX(Data[],MATCH($A223,Data[Dist],0),MATCH(B$4,Data[#Headers],0))</f>
        <v>North Tama</v>
      </c>
      <c r="C223" s="22">
        <f>INDEX(Data[],MATCH($A223,Data[Dist],0),MATCH(C$4,Data[#Headers],0))</f>
        <v>70380</v>
      </c>
      <c r="D223" s="22">
        <f>INDEX(Data[],MATCH($A223,Data[Dist],0),MATCH(D$4,Data[#Headers],0))</f>
        <v>285913</v>
      </c>
      <c r="E223" s="22">
        <f>INDEX(Data[],MATCH($A223,Data[Dist],0),MATCH(E$4,Data[#Headers],0))</f>
        <v>28916</v>
      </c>
      <c r="F223" s="22">
        <f>INDEX(Data[],MATCH($A223,Data[Dist],0),MATCH(F$4,Data[#Headers],0))</f>
        <v>30572</v>
      </c>
      <c r="G223" s="22">
        <f>INDEX(Data[],MATCH($A223,Data[Dist],0),MATCH(G$4,Data[#Headers],0))</f>
        <v>145293</v>
      </c>
      <c r="H223" s="22">
        <f>INDEX(Data[],MATCH($A223,Data[Dist],0),MATCH(H$4,Data[#Headers],0))</f>
        <v>1916150</v>
      </c>
      <c r="I223" s="22">
        <f>INDEX(Data[],MATCH($A223,Data[Dist],0),MATCH(I$4,Data[#Headers],0))</f>
        <v>2477224</v>
      </c>
      <c r="J223" s="23"/>
    </row>
    <row r="224" spans="1:10" x14ac:dyDescent="0.2">
      <c r="A224" s="20" t="str">
        <f>Data!B220</f>
        <v>4787</v>
      </c>
      <c r="B224" s="21" t="str">
        <f>INDEX(Data[],MATCH($A224,Data[Dist],0),MATCH(B$4,Data[#Headers],0))</f>
        <v>North Winneshiek</v>
      </c>
      <c r="C224" s="22">
        <f>INDEX(Data[],MATCH($A224,Data[Dist],0),MATCH(C$4,Data[#Headers],0))</f>
        <v>26811</v>
      </c>
      <c r="D224" s="22">
        <f>INDEX(Data[],MATCH($A224,Data[Dist],0),MATCH(D$4,Data[#Headers],0))</f>
        <v>152863</v>
      </c>
      <c r="E224" s="22">
        <f>INDEX(Data[],MATCH($A224,Data[Dist],0),MATCH(E$4,Data[#Headers],0))</f>
        <v>19766</v>
      </c>
      <c r="F224" s="22">
        <f>INDEX(Data[],MATCH($A224,Data[Dist],0),MATCH(F$4,Data[#Headers],0))</f>
        <v>13958</v>
      </c>
      <c r="G224" s="22">
        <f>INDEX(Data[],MATCH($A224,Data[Dist],0),MATCH(G$4,Data[#Headers],0))</f>
        <v>91582</v>
      </c>
      <c r="H224" s="22">
        <f>INDEX(Data[],MATCH($A224,Data[Dist],0),MATCH(H$4,Data[#Headers],0))</f>
        <v>1081120</v>
      </c>
      <c r="I224" s="22">
        <f>INDEX(Data[],MATCH($A224,Data[Dist],0),MATCH(I$4,Data[#Headers],0))</f>
        <v>1386100</v>
      </c>
      <c r="J224" s="23"/>
    </row>
    <row r="225" spans="1:10" x14ac:dyDescent="0.2">
      <c r="A225" s="20" t="str">
        <f>Data!B221</f>
        <v>4788</v>
      </c>
      <c r="B225" s="21" t="str">
        <f>INDEX(Data[],MATCH($A225,Data[Dist],0),MATCH(B$4,Data[#Headers],0))</f>
        <v>Northwood-Kensett</v>
      </c>
      <c r="C225" s="22">
        <f>INDEX(Data[],MATCH($A225,Data[Dist],0),MATCH(C$4,Data[#Headers],0))</f>
        <v>117300</v>
      </c>
      <c r="D225" s="22">
        <f>INDEX(Data[],MATCH($A225,Data[Dist],0),MATCH(D$4,Data[#Headers],0))</f>
        <v>292091</v>
      </c>
      <c r="E225" s="22">
        <f>INDEX(Data[],MATCH($A225,Data[Dist],0),MATCH(E$4,Data[#Headers],0))</f>
        <v>28845</v>
      </c>
      <c r="F225" s="22">
        <f>INDEX(Data[],MATCH($A225,Data[Dist],0),MATCH(F$4,Data[#Headers],0))</f>
        <v>33463</v>
      </c>
      <c r="G225" s="22">
        <f>INDEX(Data[],MATCH($A225,Data[Dist],0),MATCH(G$4,Data[#Headers],0))</f>
        <v>165895</v>
      </c>
      <c r="H225" s="22">
        <f>INDEX(Data[],MATCH($A225,Data[Dist],0),MATCH(H$4,Data[#Headers],0))</f>
        <v>2111045</v>
      </c>
      <c r="I225" s="22">
        <f>INDEX(Data[],MATCH($A225,Data[Dist],0),MATCH(I$4,Data[#Headers],0))</f>
        <v>2748639</v>
      </c>
      <c r="J225" s="23"/>
    </row>
    <row r="226" spans="1:10" x14ac:dyDescent="0.2">
      <c r="A226" s="20" t="str">
        <f>Data!B222</f>
        <v>4797</v>
      </c>
      <c r="B226" s="21" t="str">
        <f>INDEX(Data[],MATCH($A226,Data[Dist],0),MATCH(B$4,Data[#Headers],0))</f>
        <v>Norwalk</v>
      </c>
      <c r="C226" s="22">
        <f>INDEX(Data[],MATCH($A226,Data[Dist],0),MATCH(C$4,Data[#Headers],0))</f>
        <v>412224</v>
      </c>
      <c r="D226" s="22">
        <f>INDEX(Data[],MATCH($A226,Data[Dist],0),MATCH(D$4,Data[#Headers],0))</f>
        <v>1658036</v>
      </c>
      <c r="E226" s="22">
        <f>INDEX(Data[],MATCH($A226,Data[Dist],0),MATCH(E$4,Data[#Headers],0))</f>
        <v>173213</v>
      </c>
      <c r="F226" s="22">
        <f>INDEX(Data[],MATCH($A226,Data[Dist],0),MATCH(F$4,Data[#Headers],0))</f>
        <v>173637</v>
      </c>
      <c r="G226" s="22">
        <f>INDEX(Data[],MATCH($A226,Data[Dist],0),MATCH(G$4,Data[#Headers],0))</f>
        <v>924387</v>
      </c>
      <c r="H226" s="22">
        <f>INDEX(Data[],MATCH($A226,Data[Dist],0),MATCH(H$4,Data[#Headers],0))</f>
        <v>16265824</v>
      </c>
      <c r="I226" s="22">
        <f>INDEX(Data[],MATCH($A226,Data[Dist],0),MATCH(I$4,Data[#Headers],0))</f>
        <v>19607321</v>
      </c>
      <c r="J226" s="23"/>
    </row>
    <row r="227" spans="1:10" x14ac:dyDescent="0.2">
      <c r="A227" s="20" t="str">
        <f>Data!B223</f>
        <v>4824</v>
      </c>
      <c r="B227" s="21" t="str">
        <f>INDEX(Data[],MATCH($A227,Data[Dist],0),MATCH(B$4,Data[#Headers],0))</f>
        <v>Riverside</v>
      </c>
      <c r="C227" s="22">
        <f>INDEX(Data[],MATCH($A227,Data[Dist],0),MATCH(C$4,Data[#Headers],0))</f>
        <v>160868</v>
      </c>
      <c r="D227" s="22">
        <f>INDEX(Data[],MATCH($A227,Data[Dist],0),MATCH(D$4,Data[#Headers],0))</f>
        <v>405786</v>
      </c>
      <c r="E227" s="22">
        <f>INDEX(Data[],MATCH($A227,Data[Dist],0),MATCH(E$4,Data[#Headers],0))</f>
        <v>41212</v>
      </c>
      <c r="F227" s="22">
        <f>INDEX(Data[],MATCH($A227,Data[Dist],0),MATCH(F$4,Data[#Headers],0))</f>
        <v>43923</v>
      </c>
      <c r="G227" s="22">
        <f>INDEX(Data[],MATCH($A227,Data[Dist],0),MATCH(G$4,Data[#Headers],0))</f>
        <v>227582</v>
      </c>
      <c r="H227" s="22">
        <f>INDEX(Data[],MATCH($A227,Data[Dist],0),MATCH(H$4,Data[#Headers],0))</f>
        <v>2664358</v>
      </c>
      <c r="I227" s="22">
        <f>INDEX(Data[],MATCH($A227,Data[Dist],0),MATCH(I$4,Data[#Headers],0))</f>
        <v>3543729</v>
      </c>
      <c r="J227" s="23"/>
    </row>
    <row r="228" spans="1:10" x14ac:dyDescent="0.2">
      <c r="A228" s="20" t="str">
        <f>Data!B224</f>
        <v>4860</v>
      </c>
      <c r="B228" s="21" t="str">
        <f>INDEX(Data[],MATCH($A228,Data[Dist],0),MATCH(B$4,Data[#Headers],0))</f>
        <v>Odebolt Arthur Battle Creek Ida Gr</v>
      </c>
      <c r="C228" s="22">
        <f>INDEX(Data[],MATCH($A228,Data[Dist],0),MATCH(C$4,Data[#Headers],0))</f>
        <v>180976</v>
      </c>
      <c r="D228" s="22">
        <f>INDEX(Data[],MATCH($A228,Data[Dist],0),MATCH(D$4,Data[#Headers],0))</f>
        <v>606983</v>
      </c>
      <c r="E228" s="22">
        <f>INDEX(Data[],MATCH($A228,Data[Dist],0),MATCH(E$4,Data[#Headers],0))</f>
        <v>64845</v>
      </c>
      <c r="F228" s="22">
        <f>INDEX(Data[],MATCH($A228,Data[Dist],0),MATCH(F$4,Data[#Headers],0))</f>
        <v>70325</v>
      </c>
      <c r="G228" s="22">
        <f>INDEX(Data[],MATCH($A228,Data[Dist],0),MATCH(G$4,Data[#Headers],0))</f>
        <v>319480</v>
      </c>
      <c r="H228" s="22">
        <f>INDEX(Data[],MATCH($A228,Data[Dist],0),MATCH(H$4,Data[#Headers],0))</f>
        <v>4500874</v>
      </c>
      <c r="I228" s="22">
        <f>INDEX(Data[],MATCH($A228,Data[Dist],0),MATCH(I$4,Data[#Headers],0))</f>
        <v>5743483</v>
      </c>
      <c r="J228" s="23"/>
    </row>
    <row r="229" spans="1:10" x14ac:dyDescent="0.2">
      <c r="A229" s="20" t="str">
        <f>Data!B225</f>
        <v>4869</v>
      </c>
      <c r="B229" s="21" t="str">
        <f>INDEX(Data[],MATCH($A229,Data[Dist],0),MATCH(B$4,Data[#Headers],0))</f>
        <v>Oelwein</v>
      </c>
      <c r="C229" s="22">
        <f>INDEX(Data[],MATCH($A229,Data[Dist],0),MATCH(C$4,Data[#Headers],0))</f>
        <v>180976</v>
      </c>
      <c r="D229" s="22">
        <f>INDEX(Data[],MATCH($A229,Data[Dist],0),MATCH(D$4,Data[#Headers],0))</f>
        <v>747151</v>
      </c>
      <c r="E229" s="22">
        <f>INDEX(Data[],MATCH($A229,Data[Dist],0),MATCH(E$4,Data[#Headers],0))</f>
        <v>87138</v>
      </c>
      <c r="F229" s="22">
        <f>INDEX(Data[],MATCH($A229,Data[Dist],0),MATCH(F$4,Data[#Headers],0))</f>
        <v>85818</v>
      </c>
      <c r="G229" s="22">
        <f>INDEX(Data[],MATCH($A229,Data[Dist],0),MATCH(G$4,Data[#Headers],0))</f>
        <v>414497</v>
      </c>
      <c r="H229" s="22">
        <f>INDEX(Data[],MATCH($A229,Data[Dist],0),MATCH(H$4,Data[#Headers],0))</f>
        <v>7318045</v>
      </c>
      <c r="I229" s="22">
        <f>INDEX(Data[],MATCH($A229,Data[Dist],0),MATCH(I$4,Data[#Headers],0))</f>
        <v>8833625</v>
      </c>
      <c r="J229" s="23"/>
    </row>
    <row r="230" spans="1:10" x14ac:dyDescent="0.2">
      <c r="A230" s="20" t="str">
        <f>Data!B226</f>
        <v>4878</v>
      </c>
      <c r="B230" s="21" t="str">
        <f>INDEX(Data[],MATCH($A230,Data[Dist],0),MATCH(B$4,Data[#Headers],0))</f>
        <v>Ogden</v>
      </c>
      <c r="C230" s="22">
        <f>INDEX(Data[],MATCH($A230,Data[Dist],0),MATCH(C$4,Data[#Headers],0))</f>
        <v>110597</v>
      </c>
      <c r="D230" s="22">
        <f>INDEX(Data[],MATCH($A230,Data[Dist],0),MATCH(D$4,Data[#Headers],0))</f>
        <v>376654</v>
      </c>
      <c r="E230" s="22">
        <f>INDEX(Data[],MATCH($A230,Data[Dist],0),MATCH(E$4,Data[#Headers],0))</f>
        <v>40245</v>
      </c>
      <c r="F230" s="22">
        <f>INDEX(Data[],MATCH($A230,Data[Dist],0),MATCH(F$4,Data[#Headers],0))</f>
        <v>40919</v>
      </c>
      <c r="G230" s="22">
        <f>INDEX(Data[],MATCH($A230,Data[Dist],0),MATCH(G$4,Data[#Headers],0))</f>
        <v>203822</v>
      </c>
      <c r="H230" s="22">
        <f>INDEX(Data[],MATCH($A230,Data[Dist],0),MATCH(H$4,Data[#Headers],0))</f>
        <v>2719414</v>
      </c>
      <c r="I230" s="22">
        <f>INDEX(Data[],MATCH($A230,Data[Dist],0),MATCH(I$4,Data[#Headers],0))</f>
        <v>3491651</v>
      </c>
      <c r="J230" s="23"/>
    </row>
    <row r="231" spans="1:10" x14ac:dyDescent="0.2">
      <c r="A231" s="20" t="str">
        <f>Data!B227</f>
        <v>4890</v>
      </c>
      <c r="B231" s="21" t="str">
        <f>INDEX(Data[],MATCH($A231,Data[Dist],0),MATCH(B$4,Data[#Headers],0))</f>
        <v>Okoboji</v>
      </c>
      <c r="C231" s="22">
        <f>INDEX(Data[],MATCH($A231,Data[Dist],0),MATCH(C$4,Data[#Headers],0))</f>
        <v>221193</v>
      </c>
      <c r="D231" s="22">
        <f>INDEX(Data[],MATCH($A231,Data[Dist],0),MATCH(D$4,Data[#Headers],0))</f>
        <v>569975</v>
      </c>
      <c r="E231" s="22">
        <f>INDEX(Data[],MATCH($A231,Data[Dist],0),MATCH(E$4,Data[#Headers],0))</f>
        <v>63011</v>
      </c>
      <c r="F231" s="22">
        <f>INDEX(Data[],MATCH($A231,Data[Dist],0),MATCH(F$4,Data[#Headers],0))</f>
        <v>64901</v>
      </c>
      <c r="G231" s="22">
        <f>INDEX(Data[],MATCH($A231,Data[Dist],0),MATCH(G$4,Data[#Headers],0))</f>
        <v>314833</v>
      </c>
      <c r="H231" s="22">
        <f>INDEX(Data[],MATCH($A231,Data[Dist],0),MATCH(H$4,Data[#Headers],0))</f>
        <v>-1053895</v>
      </c>
      <c r="I231" s="22">
        <f>INDEX(Data[],MATCH($A231,Data[Dist],0),MATCH(I$4,Data[#Headers],0))</f>
        <v>180018</v>
      </c>
      <c r="J231" s="23"/>
    </row>
    <row r="232" spans="1:10" x14ac:dyDescent="0.2">
      <c r="A232" s="20" t="str">
        <f>Data!B228</f>
        <v>4905</v>
      </c>
      <c r="B232" s="21" t="str">
        <f>INDEX(Data[],MATCH($A232,Data[Dist],0),MATCH(B$4,Data[#Headers],0))</f>
        <v>Olin</v>
      </c>
      <c r="C232" s="22">
        <f>INDEX(Data[],MATCH($A232,Data[Dist],0),MATCH(C$4,Data[#Headers],0))</f>
        <v>26811</v>
      </c>
      <c r="D232" s="22">
        <f>INDEX(Data[],MATCH($A232,Data[Dist],0),MATCH(D$4,Data[#Headers],0))</f>
        <v>154630</v>
      </c>
      <c r="E232" s="22">
        <f>INDEX(Data[],MATCH($A232,Data[Dist],0),MATCH(E$4,Data[#Headers],0))</f>
        <v>15480</v>
      </c>
      <c r="F232" s="22">
        <f>INDEX(Data[],MATCH($A232,Data[Dist],0),MATCH(F$4,Data[#Headers],0))</f>
        <v>15899</v>
      </c>
      <c r="G232" s="22">
        <f>INDEX(Data[],MATCH($A232,Data[Dist],0),MATCH(G$4,Data[#Headers],0))</f>
        <v>70473</v>
      </c>
      <c r="H232" s="22">
        <f>INDEX(Data[],MATCH($A232,Data[Dist],0),MATCH(H$4,Data[#Headers],0))</f>
        <v>946453</v>
      </c>
      <c r="I232" s="22">
        <f>INDEX(Data[],MATCH($A232,Data[Dist],0),MATCH(I$4,Data[#Headers],0))</f>
        <v>1229746</v>
      </c>
      <c r="J232" s="23"/>
    </row>
    <row r="233" spans="1:10" x14ac:dyDescent="0.2">
      <c r="A233" s="20" t="str">
        <f>Data!B229</f>
        <v>4978</v>
      </c>
      <c r="B233" s="21" t="str">
        <f>INDEX(Data[],MATCH($A233,Data[Dist],0),MATCH(B$4,Data[#Headers],0))</f>
        <v>Orient-Macksburg</v>
      </c>
      <c r="C233" s="22">
        <f>INDEX(Data[],MATCH($A233,Data[Dist],0),MATCH(C$4,Data[#Headers],0))</f>
        <v>33514</v>
      </c>
      <c r="D233" s="22">
        <f>INDEX(Data[],MATCH($A233,Data[Dist],0),MATCH(D$4,Data[#Headers],0))</f>
        <v>139249</v>
      </c>
      <c r="E233" s="22">
        <f>INDEX(Data[],MATCH($A233,Data[Dist],0),MATCH(E$4,Data[#Headers],0))</f>
        <v>10594</v>
      </c>
      <c r="F233" s="22">
        <f>INDEX(Data[],MATCH($A233,Data[Dist],0),MATCH(F$4,Data[#Headers],0))</f>
        <v>15488</v>
      </c>
      <c r="G233" s="22">
        <f>INDEX(Data[],MATCH($A233,Data[Dist],0),MATCH(G$4,Data[#Headers],0))</f>
        <v>62459</v>
      </c>
      <c r="H233" s="22">
        <f>INDEX(Data[],MATCH($A233,Data[Dist],0),MATCH(H$4,Data[#Headers],0))</f>
        <v>604302</v>
      </c>
      <c r="I233" s="22">
        <f>INDEX(Data[],MATCH($A233,Data[Dist],0),MATCH(I$4,Data[#Headers],0))</f>
        <v>865606</v>
      </c>
      <c r="J233" s="23"/>
    </row>
    <row r="234" spans="1:10" x14ac:dyDescent="0.2">
      <c r="A234" s="20" t="str">
        <f>Data!B230</f>
        <v>4995</v>
      </c>
      <c r="B234" s="21" t="str">
        <f>INDEX(Data[],MATCH($A234,Data[Dist],0),MATCH(B$4,Data[#Headers],0))</f>
        <v>Osage</v>
      </c>
      <c r="C234" s="22">
        <f>INDEX(Data[],MATCH($A234,Data[Dist],0),MATCH(C$4,Data[#Headers],0))</f>
        <v>221193</v>
      </c>
      <c r="D234" s="22">
        <f>INDEX(Data[],MATCH($A234,Data[Dist],0),MATCH(D$4,Data[#Headers],0))</f>
        <v>528956</v>
      </c>
      <c r="E234" s="22">
        <f>INDEX(Data[],MATCH($A234,Data[Dist],0),MATCH(E$4,Data[#Headers],0))</f>
        <v>56335</v>
      </c>
      <c r="F234" s="22">
        <f>INDEX(Data[],MATCH($A234,Data[Dist],0),MATCH(F$4,Data[#Headers],0))</f>
        <v>60127</v>
      </c>
      <c r="G234" s="22">
        <f>INDEX(Data[],MATCH($A234,Data[Dist],0),MATCH(G$4,Data[#Headers],0))</f>
        <v>297570</v>
      </c>
      <c r="H234" s="22">
        <f>INDEX(Data[],MATCH($A234,Data[Dist],0),MATCH(H$4,Data[#Headers],0))</f>
        <v>4003609</v>
      </c>
      <c r="I234" s="22">
        <f>INDEX(Data[],MATCH($A234,Data[Dist],0),MATCH(I$4,Data[#Headers],0))</f>
        <v>5167790</v>
      </c>
      <c r="J234" s="23"/>
    </row>
    <row r="235" spans="1:10" x14ac:dyDescent="0.2">
      <c r="A235" s="20" t="str">
        <f>Data!B231</f>
        <v>5013</v>
      </c>
      <c r="B235" s="21" t="str">
        <f>INDEX(Data[],MATCH($A235,Data[Dist],0),MATCH(B$4,Data[#Headers],0))</f>
        <v>Oskaloosa</v>
      </c>
      <c r="C235" s="22">
        <f>INDEX(Data[],MATCH($A235,Data[Dist],0),MATCH(C$4,Data[#Headers],0))</f>
        <v>405521</v>
      </c>
      <c r="D235" s="22">
        <f>INDEX(Data[],MATCH($A235,Data[Dist],0),MATCH(D$4,Data[#Headers],0))</f>
        <v>1339188</v>
      </c>
      <c r="E235" s="22">
        <f>INDEX(Data[],MATCH($A235,Data[Dist],0),MATCH(E$4,Data[#Headers],0))</f>
        <v>174996</v>
      </c>
      <c r="F235" s="22">
        <f>INDEX(Data[],MATCH($A235,Data[Dist],0),MATCH(F$4,Data[#Headers],0))</f>
        <v>157239</v>
      </c>
      <c r="G235" s="22">
        <f>INDEX(Data[],MATCH($A235,Data[Dist],0),MATCH(G$4,Data[#Headers],0))</f>
        <v>770964</v>
      </c>
      <c r="H235" s="22">
        <f>INDEX(Data[],MATCH($A235,Data[Dist],0),MATCH(H$4,Data[#Headers],0))</f>
        <v>12490679</v>
      </c>
      <c r="I235" s="22">
        <f>INDEX(Data[],MATCH($A235,Data[Dist],0),MATCH(I$4,Data[#Headers],0))</f>
        <v>15338587</v>
      </c>
      <c r="J235" s="23"/>
    </row>
    <row r="236" spans="1:10" x14ac:dyDescent="0.2">
      <c r="A236" s="20" t="str">
        <f>Data!B232</f>
        <v>5049</v>
      </c>
      <c r="B236" s="21" t="str">
        <f>INDEX(Data[],MATCH($A236,Data[Dist],0),MATCH(B$4,Data[#Headers],0))</f>
        <v>Ottumwa</v>
      </c>
      <c r="C236" s="22">
        <f>INDEX(Data[],MATCH($A236,Data[Dist],0),MATCH(C$4,Data[#Headers],0))</f>
        <v>546281</v>
      </c>
      <c r="D236" s="22">
        <f>INDEX(Data[],MATCH($A236,Data[Dist],0),MATCH(D$4,Data[#Headers],0))</f>
        <v>2582325</v>
      </c>
      <c r="E236" s="22">
        <f>INDEX(Data[],MATCH($A236,Data[Dist],0),MATCH(E$4,Data[#Headers],0))</f>
        <v>371882</v>
      </c>
      <c r="F236" s="22">
        <f>INDEX(Data[],MATCH($A236,Data[Dist],0),MATCH(F$4,Data[#Headers],0))</f>
        <v>292782</v>
      </c>
      <c r="G236" s="22">
        <f>INDEX(Data[],MATCH($A236,Data[Dist],0),MATCH(G$4,Data[#Headers],0))</f>
        <v>1505883</v>
      </c>
      <c r="H236" s="22">
        <f>INDEX(Data[],MATCH($A236,Data[Dist],0),MATCH(H$4,Data[#Headers],0))</f>
        <v>27886334</v>
      </c>
      <c r="I236" s="22">
        <f>INDEX(Data[],MATCH($A236,Data[Dist],0),MATCH(I$4,Data[#Headers],0))</f>
        <v>33185487</v>
      </c>
      <c r="J236" s="23"/>
    </row>
    <row r="237" spans="1:10" x14ac:dyDescent="0.2">
      <c r="A237" s="20" t="str">
        <f>Data!B233</f>
        <v>5121</v>
      </c>
      <c r="B237" s="21" t="str">
        <f>INDEX(Data[],MATCH($A237,Data[Dist],0),MATCH(B$4,Data[#Headers],0))</f>
        <v>Panorama</v>
      </c>
      <c r="C237" s="22">
        <f>INDEX(Data[],MATCH($A237,Data[Dist],0),MATCH(C$4,Data[#Headers],0))</f>
        <v>113948</v>
      </c>
      <c r="D237" s="22">
        <f>INDEX(Data[],MATCH($A237,Data[Dist],0),MATCH(D$4,Data[#Headers],0))</f>
        <v>405583</v>
      </c>
      <c r="E237" s="22">
        <f>INDEX(Data[],MATCH($A237,Data[Dist],0),MATCH(E$4,Data[#Headers],0))</f>
        <v>42326</v>
      </c>
      <c r="F237" s="22">
        <f>INDEX(Data[],MATCH($A237,Data[Dist],0),MATCH(F$4,Data[#Headers],0))</f>
        <v>40034</v>
      </c>
      <c r="G237" s="22">
        <f>INDEX(Data[],MATCH($A237,Data[Dist],0),MATCH(G$4,Data[#Headers],0))</f>
        <v>233692</v>
      </c>
      <c r="H237" s="22">
        <f>INDEX(Data[],MATCH($A237,Data[Dist],0),MATCH(H$4,Data[#Headers],0))</f>
        <v>2635613</v>
      </c>
      <c r="I237" s="22">
        <f>INDEX(Data[],MATCH($A237,Data[Dist],0),MATCH(I$4,Data[#Headers],0))</f>
        <v>3471196</v>
      </c>
      <c r="J237" s="23"/>
    </row>
    <row r="238" spans="1:10" x14ac:dyDescent="0.2">
      <c r="A238" s="20" t="str">
        <f>Data!B234</f>
        <v>5139</v>
      </c>
      <c r="B238" s="21" t="str">
        <f>INDEX(Data[],MATCH($A238,Data[Dist],0),MATCH(B$4,Data[#Headers],0))</f>
        <v>Paton-Churdan</v>
      </c>
      <c r="C238" s="22">
        <f>INDEX(Data[],MATCH($A238,Data[Dist],0),MATCH(C$4,Data[#Headers],0))</f>
        <v>63677</v>
      </c>
      <c r="D238" s="22">
        <f>INDEX(Data[],MATCH($A238,Data[Dist],0),MATCH(D$4,Data[#Headers],0))</f>
        <v>124609</v>
      </c>
      <c r="E238" s="22">
        <f>INDEX(Data[],MATCH($A238,Data[Dist],0),MATCH(E$4,Data[#Headers],0))</f>
        <v>14975</v>
      </c>
      <c r="F238" s="22">
        <f>INDEX(Data[],MATCH($A238,Data[Dist],0),MATCH(F$4,Data[#Headers],0))</f>
        <v>11082</v>
      </c>
      <c r="G238" s="22">
        <f>INDEX(Data[],MATCH($A238,Data[Dist],0),MATCH(G$4,Data[#Headers],0))</f>
        <v>68010</v>
      </c>
      <c r="H238" s="22">
        <f>INDEX(Data[],MATCH($A238,Data[Dist],0),MATCH(H$4,Data[#Headers],0))</f>
        <v>890399</v>
      </c>
      <c r="I238" s="22">
        <f>INDEX(Data[],MATCH($A238,Data[Dist],0),MATCH(I$4,Data[#Headers],0))</f>
        <v>1172752</v>
      </c>
      <c r="J238" s="23"/>
    </row>
    <row r="239" spans="1:10" x14ac:dyDescent="0.2">
      <c r="A239" s="20" t="str">
        <f>Data!B235</f>
        <v>5157</v>
      </c>
      <c r="B239" s="21" t="str">
        <f>INDEX(Data[],MATCH($A239,Data[Dist],0),MATCH(B$4,Data[#Headers],0))</f>
        <v>South O'Brien</v>
      </c>
      <c r="C239" s="22">
        <f>INDEX(Data[],MATCH($A239,Data[Dist],0),MATCH(C$4,Data[#Headers],0))</f>
        <v>103894</v>
      </c>
      <c r="D239" s="22">
        <f>INDEX(Data[],MATCH($A239,Data[Dist],0),MATCH(D$4,Data[#Headers],0))</f>
        <v>364046</v>
      </c>
      <c r="E239" s="22">
        <f>INDEX(Data[],MATCH($A239,Data[Dist],0),MATCH(E$4,Data[#Headers],0))</f>
        <v>36426</v>
      </c>
      <c r="F239" s="22">
        <f>INDEX(Data[],MATCH($A239,Data[Dist],0),MATCH(F$4,Data[#Headers],0))</f>
        <v>42844</v>
      </c>
      <c r="G239" s="22">
        <f>INDEX(Data[],MATCH($A239,Data[Dist],0),MATCH(G$4,Data[#Headers],0))</f>
        <v>198940</v>
      </c>
      <c r="H239" s="22">
        <f>INDEX(Data[],MATCH($A239,Data[Dist],0),MATCH(H$4,Data[#Headers],0))</f>
        <v>1809092</v>
      </c>
      <c r="I239" s="22">
        <f>INDEX(Data[],MATCH($A239,Data[Dist],0),MATCH(I$4,Data[#Headers],0))</f>
        <v>2555242</v>
      </c>
      <c r="J239" s="23"/>
    </row>
    <row r="240" spans="1:10" x14ac:dyDescent="0.2">
      <c r="A240" s="20" t="str">
        <f>Data!B236</f>
        <v>5163</v>
      </c>
      <c r="B240" s="21" t="str">
        <f>INDEX(Data[],MATCH($A240,Data[Dist],0),MATCH(B$4,Data[#Headers],0))</f>
        <v>Pekin</v>
      </c>
      <c r="C240" s="22">
        <f>INDEX(Data[],MATCH($A240,Data[Dist],0),MATCH(C$4,Data[#Headers],0))</f>
        <v>140759</v>
      </c>
      <c r="D240" s="22">
        <f>INDEX(Data[],MATCH($A240,Data[Dist],0),MATCH(D$4,Data[#Headers],0))</f>
        <v>352146</v>
      </c>
      <c r="E240" s="22">
        <f>INDEX(Data[],MATCH($A240,Data[Dist],0),MATCH(E$4,Data[#Headers],0))</f>
        <v>40789</v>
      </c>
      <c r="F240" s="22">
        <f>INDEX(Data[],MATCH($A240,Data[Dist],0),MATCH(F$4,Data[#Headers],0))</f>
        <v>39577</v>
      </c>
      <c r="G240" s="22">
        <f>INDEX(Data[],MATCH($A240,Data[Dist],0),MATCH(G$4,Data[#Headers],0))</f>
        <v>198973</v>
      </c>
      <c r="H240" s="22">
        <f>INDEX(Data[],MATCH($A240,Data[Dist],0),MATCH(H$4,Data[#Headers],0))</f>
        <v>2572906</v>
      </c>
      <c r="I240" s="22">
        <f>INDEX(Data[],MATCH($A240,Data[Dist],0),MATCH(I$4,Data[#Headers],0))</f>
        <v>3345150</v>
      </c>
      <c r="J240" s="23"/>
    </row>
    <row r="241" spans="1:10" x14ac:dyDescent="0.2">
      <c r="A241" s="20" t="str">
        <f>Data!B237</f>
        <v>5166</v>
      </c>
      <c r="B241" s="21" t="str">
        <f>INDEX(Data[],MATCH($A241,Data[Dist],0),MATCH(B$4,Data[#Headers],0))</f>
        <v>Pella</v>
      </c>
      <c r="C241" s="22">
        <f>INDEX(Data[],MATCH($A241,Data[Dist],0),MATCH(C$4,Data[#Headers],0))</f>
        <v>338493</v>
      </c>
      <c r="D241" s="22">
        <f>INDEX(Data[],MATCH($A241,Data[Dist],0),MATCH(D$4,Data[#Headers],0))</f>
        <v>1180850</v>
      </c>
      <c r="E241" s="22">
        <f>INDEX(Data[],MATCH($A241,Data[Dist],0),MATCH(E$4,Data[#Headers],0))</f>
        <v>136609</v>
      </c>
      <c r="F241" s="22">
        <f>INDEX(Data[],MATCH($A241,Data[Dist],0),MATCH(F$4,Data[#Headers],0))</f>
        <v>126909</v>
      </c>
      <c r="G241" s="22">
        <f>INDEX(Data[],MATCH($A241,Data[Dist],0),MATCH(G$4,Data[#Headers],0))</f>
        <v>699102</v>
      </c>
      <c r="H241" s="22">
        <f>INDEX(Data[],MATCH($A241,Data[Dist],0),MATCH(H$4,Data[#Headers],0))</f>
        <v>9582380</v>
      </c>
      <c r="I241" s="22">
        <f>INDEX(Data[],MATCH($A241,Data[Dist],0),MATCH(I$4,Data[#Headers],0))</f>
        <v>12064343</v>
      </c>
      <c r="J241" s="23"/>
    </row>
    <row r="242" spans="1:10" x14ac:dyDescent="0.2">
      <c r="A242" s="20" t="str">
        <f>Data!B238</f>
        <v>5184</v>
      </c>
      <c r="B242" s="21" t="str">
        <f>INDEX(Data[],MATCH($A242,Data[Dist],0),MATCH(B$4,Data[#Headers],0))</f>
        <v>Perry</v>
      </c>
      <c r="C242" s="22">
        <f>INDEX(Data[],MATCH($A242,Data[Dist],0),MATCH(C$4,Data[#Headers],0))</f>
        <v>315033</v>
      </c>
      <c r="D242" s="22">
        <f>INDEX(Data[],MATCH($A242,Data[Dist],0),MATCH(D$4,Data[#Headers],0))</f>
        <v>1075578</v>
      </c>
      <c r="E242" s="22">
        <f>INDEX(Data[],MATCH($A242,Data[Dist],0),MATCH(E$4,Data[#Headers],0))</f>
        <v>159664</v>
      </c>
      <c r="F242" s="22">
        <f>INDEX(Data[],MATCH($A242,Data[Dist],0),MATCH(F$4,Data[#Headers],0))</f>
        <v>116969</v>
      </c>
      <c r="G242" s="22">
        <f>INDEX(Data[],MATCH($A242,Data[Dist],0),MATCH(G$4,Data[#Headers],0))</f>
        <v>593136</v>
      </c>
      <c r="H242" s="22">
        <f>INDEX(Data[],MATCH($A242,Data[Dist],0),MATCH(H$4,Data[#Headers],0))</f>
        <v>10569271</v>
      </c>
      <c r="I242" s="22">
        <f>INDEX(Data[],MATCH($A242,Data[Dist],0),MATCH(I$4,Data[#Headers],0))</f>
        <v>12829651</v>
      </c>
      <c r="J242" s="23"/>
    </row>
    <row r="243" spans="1:10" x14ac:dyDescent="0.2">
      <c r="A243" s="20" t="str">
        <f>Data!B239</f>
        <v>5250</v>
      </c>
      <c r="B243" s="21" t="str">
        <f>INDEX(Data[],MATCH($A243,Data[Dist],0),MATCH(B$4,Data[#Headers],0))</f>
        <v>Pleasant Valley</v>
      </c>
      <c r="C243" s="22">
        <f>INDEX(Data[],MATCH($A243,Data[Dist],0),MATCH(C$4,Data[#Headers],0))</f>
        <v>586498</v>
      </c>
      <c r="D243" s="22">
        <f>INDEX(Data[],MATCH($A243,Data[Dist],0),MATCH(D$4,Data[#Headers],0))</f>
        <v>2660508</v>
      </c>
      <c r="E243" s="22">
        <f>INDEX(Data[],MATCH($A243,Data[Dist],0),MATCH(E$4,Data[#Headers],0))</f>
        <v>279445</v>
      </c>
      <c r="F243" s="22">
        <f>INDEX(Data[],MATCH($A243,Data[Dist],0),MATCH(F$4,Data[#Headers],0))</f>
        <v>307010</v>
      </c>
      <c r="G243" s="22">
        <f>INDEX(Data[],MATCH($A243,Data[Dist],0),MATCH(G$4,Data[#Headers],0))</f>
        <v>1607164</v>
      </c>
      <c r="H243" s="22">
        <f>INDEX(Data[],MATCH($A243,Data[Dist],0),MATCH(H$4,Data[#Headers],0))</f>
        <v>21780755</v>
      </c>
      <c r="I243" s="22">
        <f>INDEX(Data[],MATCH($A243,Data[Dist],0),MATCH(I$4,Data[#Headers],0))</f>
        <v>27221380</v>
      </c>
      <c r="J243" s="23"/>
    </row>
    <row r="244" spans="1:10" x14ac:dyDescent="0.2">
      <c r="A244" s="20" t="str">
        <f>Data!B240</f>
        <v>5256</v>
      </c>
      <c r="B244" s="21" t="str">
        <f>INDEX(Data[],MATCH($A244,Data[Dist],0),MATCH(B$4,Data[#Headers],0))</f>
        <v>Pleasantville</v>
      </c>
      <c r="C244" s="22">
        <f>INDEX(Data[],MATCH($A244,Data[Dist],0),MATCH(C$4,Data[#Headers],0))</f>
        <v>140759</v>
      </c>
      <c r="D244" s="22">
        <f>INDEX(Data[],MATCH($A244,Data[Dist],0),MATCH(D$4,Data[#Headers],0))</f>
        <v>404222</v>
      </c>
      <c r="E244" s="22">
        <f>INDEX(Data[],MATCH($A244,Data[Dist],0),MATCH(E$4,Data[#Headers],0))</f>
        <v>53396</v>
      </c>
      <c r="F244" s="22">
        <f>INDEX(Data[],MATCH($A244,Data[Dist],0),MATCH(F$4,Data[#Headers],0))</f>
        <v>42517</v>
      </c>
      <c r="G244" s="22">
        <f>INDEX(Data[],MATCH($A244,Data[Dist],0),MATCH(G$4,Data[#Headers],0))</f>
        <v>227832</v>
      </c>
      <c r="H244" s="22">
        <f>INDEX(Data[],MATCH($A244,Data[Dist],0),MATCH(H$4,Data[#Headers],0))</f>
        <v>3739794</v>
      </c>
      <c r="I244" s="22">
        <f>INDEX(Data[],MATCH($A244,Data[Dist],0),MATCH(I$4,Data[#Headers],0))</f>
        <v>4608520</v>
      </c>
      <c r="J244" s="23"/>
    </row>
    <row r="245" spans="1:10" x14ac:dyDescent="0.2">
      <c r="A245" s="20" t="str">
        <f>Data!B241</f>
        <v>5283</v>
      </c>
      <c r="B245" s="21" t="str">
        <f>INDEX(Data[],MATCH($A245,Data[Dist],0),MATCH(B$4,Data[#Headers],0))</f>
        <v>Pocahontas Area</v>
      </c>
      <c r="C245" s="22">
        <f>INDEX(Data[],MATCH($A245,Data[Dist],0),MATCH(C$4,Data[#Headers],0))</f>
        <v>164219</v>
      </c>
      <c r="D245" s="22">
        <f>INDEX(Data[],MATCH($A245,Data[Dist],0),MATCH(D$4,Data[#Headers],0))</f>
        <v>470338</v>
      </c>
      <c r="E245" s="22">
        <f>INDEX(Data[],MATCH($A245,Data[Dist],0),MATCH(E$4,Data[#Headers],0))</f>
        <v>43102</v>
      </c>
      <c r="F245" s="22">
        <f>INDEX(Data[],MATCH($A245,Data[Dist],0),MATCH(F$4,Data[#Headers],0))</f>
        <v>58932</v>
      </c>
      <c r="G245" s="22">
        <f>INDEX(Data[],MATCH($A245,Data[Dist],0),MATCH(G$4,Data[#Headers],0))</f>
        <v>224737</v>
      </c>
      <c r="H245" s="22">
        <f>INDEX(Data[],MATCH($A245,Data[Dist],0),MATCH(H$4,Data[#Headers],0))</f>
        <v>1362066</v>
      </c>
      <c r="I245" s="22">
        <f>INDEX(Data[],MATCH($A245,Data[Dist],0),MATCH(I$4,Data[#Headers],0))</f>
        <v>2323394</v>
      </c>
      <c r="J245" s="23"/>
    </row>
    <row r="246" spans="1:10" x14ac:dyDescent="0.2">
      <c r="A246" s="20" t="str">
        <f>Data!B242</f>
        <v>5310</v>
      </c>
      <c r="B246" s="21" t="str">
        <f>INDEX(Data[],MATCH($A246,Data[Dist],0),MATCH(B$4,Data[#Headers],0))</f>
        <v>Postville</v>
      </c>
      <c r="C246" s="22">
        <f>INDEX(Data[],MATCH($A246,Data[Dist],0),MATCH(C$4,Data[#Headers],0))</f>
        <v>56974</v>
      </c>
      <c r="D246" s="22">
        <f>INDEX(Data[],MATCH($A246,Data[Dist],0),MATCH(D$4,Data[#Headers],0))</f>
        <v>437802</v>
      </c>
      <c r="E246" s="22">
        <f>INDEX(Data[],MATCH($A246,Data[Dist],0),MATCH(E$4,Data[#Headers],0))</f>
        <v>67119</v>
      </c>
      <c r="F246" s="22">
        <f>INDEX(Data[],MATCH($A246,Data[Dist],0),MATCH(F$4,Data[#Headers],0))</f>
        <v>43116</v>
      </c>
      <c r="G246" s="22">
        <f>INDEX(Data[],MATCH($A246,Data[Dist],0),MATCH(G$4,Data[#Headers],0))</f>
        <v>238639</v>
      </c>
      <c r="H246" s="22">
        <f>INDEX(Data[],MATCH($A246,Data[Dist],0),MATCH(H$4,Data[#Headers],0))</f>
        <v>4263586</v>
      </c>
      <c r="I246" s="22">
        <f>INDEX(Data[],MATCH($A246,Data[Dist],0),MATCH(I$4,Data[#Headers],0))</f>
        <v>5107236</v>
      </c>
      <c r="J246" s="23"/>
    </row>
    <row r="247" spans="1:10" x14ac:dyDescent="0.2">
      <c r="A247" s="20" t="str">
        <f>Data!B243</f>
        <v>5319</v>
      </c>
      <c r="B247" s="21" t="str">
        <f>INDEX(Data[],MATCH($A247,Data[Dist],0),MATCH(B$4,Data[#Headers],0))</f>
        <v>PCM</v>
      </c>
      <c r="C247" s="22">
        <f>INDEX(Data[],MATCH($A247,Data[Dist],0),MATCH(C$4,Data[#Headers],0))</f>
        <v>167571</v>
      </c>
      <c r="D247" s="22">
        <f>INDEX(Data[],MATCH($A247,Data[Dist],0),MATCH(D$4,Data[#Headers],0))</f>
        <v>590394</v>
      </c>
      <c r="E247" s="22">
        <f>INDEX(Data[],MATCH($A247,Data[Dist],0),MATCH(E$4,Data[#Headers],0))</f>
        <v>65091</v>
      </c>
      <c r="F247" s="22">
        <f>INDEX(Data[],MATCH($A247,Data[Dist],0),MATCH(F$4,Data[#Headers],0))</f>
        <v>63515</v>
      </c>
      <c r="G247" s="22">
        <f>INDEX(Data[],MATCH($A247,Data[Dist],0),MATCH(G$4,Data[#Headers],0))</f>
        <v>340801</v>
      </c>
      <c r="H247" s="22">
        <f>INDEX(Data[],MATCH($A247,Data[Dist],0),MATCH(H$4,Data[#Headers],0))</f>
        <v>5235791</v>
      </c>
      <c r="I247" s="22">
        <f>INDEX(Data[],MATCH($A247,Data[Dist],0),MATCH(I$4,Data[#Headers],0))</f>
        <v>6463163</v>
      </c>
      <c r="J247" s="23"/>
    </row>
    <row r="248" spans="1:10" x14ac:dyDescent="0.2">
      <c r="A248" s="20" t="str">
        <f>Data!B244</f>
        <v>5323</v>
      </c>
      <c r="B248" s="21" t="str">
        <f>INDEX(Data[],MATCH($A248,Data[Dist],0),MATCH(B$4,Data[#Headers],0))</f>
        <v>Prairie Valley</v>
      </c>
      <c r="C248" s="22">
        <f>INDEX(Data[],MATCH($A248,Data[Dist],0),MATCH(C$4,Data[#Headers],0))</f>
        <v>100542</v>
      </c>
      <c r="D248" s="22">
        <f>INDEX(Data[],MATCH($A248,Data[Dist],0),MATCH(D$4,Data[#Headers],0))</f>
        <v>374933</v>
      </c>
      <c r="E248" s="22">
        <f>INDEX(Data[],MATCH($A248,Data[Dist],0),MATCH(E$4,Data[#Headers],0))</f>
        <v>39565</v>
      </c>
      <c r="F248" s="22">
        <f>INDEX(Data[],MATCH($A248,Data[Dist],0),MATCH(F$4,Data[#Headers],0))</f>
        <v>45058</v>
      </c>
      <c r="G248" s="22">
        <f>INDEX(Data[],MATCH($A248,Data[Dist],0),MATCH(G$4,Data[#Headers],0))</f>
        <v>190729</v>
      </c>
      <c r="H248" s="22">
        <f>INDEX(Data[],MATCH($A248,Data[Dist],0),MATCH(H$4,Data[#Headers],0))</f>
        <v>2139473</v>
      </c>
      <c r="I248" s="22">
        <f>INDEX(Data[],MATCH($A248,Data[Dist],0),MATCH(I$4,Data[#Headers],0))</f>
        <v>2890300</v>
      </c>
      <c r="J248" s="23"/>
    </row>
    <row r="249" spans="1:10" x14ac:dyDescent="0.2">
      <c r="A249" s="20" t="str">
        <f>Data!B245</f>
        <v>5463</v>
      </c>
      <c r="B249" s="21" t="str">
        <f>INDEX(Data[],MATCH($A249,Data[Dist],0),MATCH(B$4,Data[#Headers],0))</f>
        <v>Red Oak</v>
      </c>
      <c r="C249" s="22">
        <f>INDEX(Data[],MATCH($A249,Data[Dist],0),MATCH(C$4,Data[#Headers],0))</f>
        <v>184328</v>
      </c>
      <c r="D249" s="22">
        <f>INDEX(Data[],MATCH($A249,Data[Dist],0),MATCH(D$4,Data[#Headers],0))</f>
        <v>652823</v>
      </c>
      <c r="E249" s="22">
        <f>INDEX(Data[],MATCH($A249,Data[Dist],0),MATCH(E$4,Data[#Headers],0))</f>
        <v>87569</v>
      </c>
      <c r="F249" s="22">
        <f>INDEX(Data[],MATCH($A249,Data[Dist],0),MATCH(F$4,Data[#Headers],0))</f>
        <v>72236</v>
      </c>
      <c r="G249" s="22">
        <f>INDEX(Data[],MATCH($A249,Data[Dist],0),MATCH(G$4,Data[#Headers],0))</f>
        <v>358927</v>
      </c>
      <c r="H249" s="22">
        <f>INDEX(Data[],MATCH($A249,Data[Dist],0),MATCH(H$4,Data[#Headers],0))</f>
        <v>5028531</v>
      </c>
      <c r="I249" s="22">
        <f>INDEX(Data[],MATCH($A249,Data[Dist],0),MATCH(I$4,Data[#Headers],0))</f>
        <v>6384414</v>
      </c>
      <c r="J249" s="23"/>
    </row>
    <row r="250" spans="1:10" x14ac:dyDescent="0.2">
      <c r="A250" s="20" t="str">
        <f>Data!B246</f>
        <v>5486</v>
      </c>
      <c r="B250" s="21" t="str">
        <f>INDEX(Data[],MATCH($A250,Data[Dist],0),MATCH(B$4,Data[#Headers],0))</f>
        <v>Remsen-Union</v>
      </c>
      <c r="C250" s="22">
        <f>INDEX(Data[],MATCH($A250,Data[Dist],0),MATCH(C$4,Data[#Headers],0))</f>
        <v>70380</v>
      </c>
      <c r="D250" s="22">
        <f>INDEX(Data[],MATCH($A250,Data[Dist],0),MATCH(D$4,Data[#Headers],0))</f>
        <v>223687</v>
      </c>
      <c r="E250" s="22">
        <f>INDEX(Data[],MATCH($A250,Data[Dist],0),MATCH(E$4,Data[#Headers],0))</f>
        <v>21110</v>
      </c>
      <c r="F250" s="22">
        <f>INDEX(Data[],MATCH($A250,Data[Dist],0),MATCH(F$4,Data[#Headers],0))</f>
        <v>22675</v>
      </c>
      <c r="G250" s="22">
        <f>INDEX(Data[],MATCH($A250,Data[Dist],0),MATCH(G$4,Data[#Headers],0))</f>
        <v>118705</v>
      </c>
      <c r="H250" s="22">
        <f>INDEX(Data[],MATCH($A250,Data[Dist],0),MATCH(H$4,Data[#Headers],0))</f>
        <v>929615</v>
      </c>
      <c r="I250" s="22">
        <f>INDEX(Data[],MATCH($A250,Data[Dist],0),MATCH(I$4,Data[#Headers],0))</f>
        <v>1386172</v>
      </c>
      <c r="J250" s="23"/>
    </row>
    <row r="251" spans="1:10" x14ac:dyDescent="0.2">
      <c r="A251" s="20" t="str">
        <f>Data!B247</f>
        <v>5508</v>
      </c>
      <c r="B251" s="21" t="str">
        <f>INDEX(Data[],MATCH($A251,Data[Dist],0),MATCH(B$4,Data[#Headers],0))</f>
        <v>Riceville</v>
      </c>
      <c r="C251" s="22">
        <f>INDEX(Data[],MATCH($A251,Data[Dist],0),MATCH(C$4,Data[#Headers],0))</f>
        <v>83785</v>
      </c>
      <c r="D251" s="22">
        <f>INDEX(Data[],MATCH($A251,Data[Dist],0),MATCH(D$4,Data[#Headers],0))</f>
        <v>244367</v>
      </c>
      <c r="E251" s="22">
        <f>INDEX(Data[],MATCH($A251,Data[Dist],0),MATCH(E$4,Data[#Headers],0))</f>
        <v>21294</v>
      </c>
      <c r="F251" s="22">
        <f>INDEX(Data[],MATCH($A251,Data[Dist],0),MATCH(F$4,Data[#Headers],0))</f>
        <v>29833</v>
      </c>
      <c r="G251" s="22">
        <f>INDEX(Data[],MATCH($A251,Data[Dist],0),MATCH(G$4,Data[#Headers],0))</f>
        <v>107190</v>
      </c>
      <c r="H251" s="22">
        <f>INDEX(Data[],MATCH($A251,Data[Dist],0),MATCH(H$4,Data[#Headers],0))</f>
        <v>789040</v>
      </c>
      <c r="I251" s="22">
        <f>INDEX(Data[],MATCH($A251,Data[Dist],0),MATCH(I$4,Data[#Headers],0))</f>
        <v>1275509</v>
      </c>
      <c r="J251" s="23"/>
    </row>
    <row r="252" spans="1:10" x14ac:dyDescent="0.2">
      <c r="A252" s="20" t="str">
        <f>Data!B248</f>
        <v>5607</v>
      </c>
      <c r="B252" s="21" t="str">
        <f>INDEX(Data[],MATCH($A252,Data[Dist],0),MATCH(B$4,Data[#Headers],0))</f>
        <v>Rock Valley</v>
      </c>
      <c r="C252" s="22">
        <f>INDEX(Data[],MATCH($A252,Data[Dist],0),MATCH(C$4,Data[#Headers],0))</f>
        <v>261410</v>
      </c>
      <c r="D252" s="22">
        <f>INDEX(Data[],MATCH($A252,Data[Dist],0),MATCH(D$4,Data[#Headers],0))</f>
        <v>477926</v>
      </c>
      <c r="E252" s="22">
        <f>INDEX(Data[],MATCH($A252,Data[Dist],0),MATCH(E$4,Data[#Headers],0))</f>
        <v>66622</v>
      </c>
      <c r="F252" s="22">
        <f>INDEX(Data[],MATCH($A252,Data[Dist],0),MATCH(F$4,Data[#Headers],0))</f>
        <v>50607</v>
      </c>
      <c r="G252" s="22">
        <f>INDEX(Data[],MATCH($A252,Data[Dist],0),MATCH(G$4,Data[#Headers],0))</f>
        <v>262898</v>
      </c>
      <c r="H252" s="22">
        <f>INDEX(Data[],MATCH($A252,Data[Dist],0),MATCH(H$4,Data[#Headers],0))</f>
        <v>3992926</v>
      </c>
      <c r="I252" s="22">
        <f>INDEX(Data[],MATCH($A252,Data[Dist],0),MATCH(I$4,Data[#Headers],0))</f>
        <v>5112389</v>
      </c>
      <c r="J252" s="23"/>
    </row>
    <row r="253" spans="1:10" x14ac:dyDescent="0.2">
      <c r="A253" s="20" t="str">
        <f>Data!B249</f>
        <v>5643</v>
      </c>
      <c r="B253" s="21" t="str">
        <f>INDEX(Data[],MATCH($A253,Data[Dist],0),MATCH(B$4,Data[#Headers],0))</f>
        <v>Roland-Story</v>
      </c>
      <c r="C253" s="22">
        <f>INDEX(Data[],MATCH($A253,Data[Dist],0),MATCH(C$4,Data[#Headers],0))</f>
        <v>184328</v>
      </c>
      <c r="D253" s="22">
        <f>INDEX(Data[],MATCH($A253,Data[Dist],0),MATCH(D$4,Data[#Headers],0))</f>
        <v>572932</v>
      </c>
      <c r="E253" s="22">
        <f>INDEX(Data[],MATCH($A253,Data[Dist],0),MATCH(E$4,Data[#Headers],0))</f>
        <v>65482</v>
      </c>
      <c r="F253" s="22">
        <f>INDEX(Data[],MATCH($A253,Data[Dist],0),MATCH(F$4,Data[#Headers],0))</f>
        <v>71256</v>
      </c>
      <c r="G253" s="22">
        <f>INDEX(Data[],MATCH($A253,Data[Dist],0),MATCH(G$4,Data[#Headers],0))</f>
        <v>330189</v>
      </c>
      <c r="H253" s="22">
        <f>INDEX(Data[],MATCH($A253,Data[Dist],0),MATCH(H$4,Data[#Headers],0))</f>
        <v>4691178</v>
      </c>
      <c r="I253" s="22">
        <f>INDEX(Data[],MATCH($A253,Data[Dist],0),MATCH(I$4,Data[#Headers],0))</f>
        <v>5915365</v>
      </c>
      <c r="J253" s="23"/>
    </row>
    <row r="254" spans="1:10" x14ac:dyDescent="0.2">
      <c r="A254" s="20" t="str">
        <f>Data!B250</f>
        <v>5697</v>
      </c>
      <c r="B254" s="21" t="str">
        <f>INDEX(Data[],MATCH($A254,Data[Dist],0),MATCH(B$4,Data[#Headers],0))</f>
        <v>Rudd-Rockford-Marble Rock</v>
      </c>
      <c r="C254" s="22">
        <f>INDEX(Data[],MATCH($A254,Data[Dist],0),MATCH(C$4,Data[#Headers],0))</f>
        <v>63677</v>
      </c>
      <c r="D254" s="22">
        <f>INDEX(Data[],MATCH($A254,Data[Dist],0),MATCH(D$4,Data[#Headers],0))</f>
        <v>264739</v>
      </c>
      <c r="E254" s="22">
        <f>INDEX(Data[],MATCH($A254,Data[Dist],0),MATCH(E$4,Data[#Headers],0))</f>
        <v>27939</v>
      </c>
      <c r="F254" s="22">
        <f>INDEX(Data[],MATCH($A254,Data[Dist],0),MATCH(F$4,Data[#Headers],0))</f>
        <v>29880</v>
      </c>
      <c r="G254" s="22">
        <f>INDEX(Data[],MATCH($A254,Data[Dist],0),MATCH(G$4,Data[#Headers],0))</f>
        <v>142594</v>
      </c>
      <c r="H254" s="22">
        <f>INDEX(Data[],MATCH($A254,Data[Dist],0),MATCH(H$4,Data[#Headers],0))</f>
        <v>1702923</v>
      </c>
      <c r="I254" s="22">
        <f>INDEX(Data[],MATCH($A254,Data[Dist],0),MATCH(I$4,Data[#Headers],0))</f>
        <v>2231752</v>
      </c>
      <c r="J254" s="23"/>
    </row>
    <row r="255" spans="1:10" x14ac:dyDescent="0.2">
      <c r="A255" s="20" t="str">
        <f>Data!B251</f>
        <v>5724</v>
      </c>
      <c r="B255" s="21" t="str">
        <f>INDEX(Data[],MATCH($A255,Data[Dist],0),MATCH(B$4,Data[#Headers],0))</f>
        <v>Ruthven-Ayrshire</v>
      </c>
      <c r="C255" s="22">
        <f>INDEX(Data[],MATCH($A255,Data[Dist],0),MATCH(C$4,Data[#Headers],0))</f>
        <v>33514</v>
      </c>
      <c r="D255" s="22">
        <f>INDEX(Data[],MATCH($A255,Data[Dist],0),MATCH(D$4,Data[#Headers],0))</f>
        <v>146304</v>
      </c>
      <c r="E255" s="22">
        <f>INDEX(Data[],MATCH($A255,Data[Dist],0),MATCH(E$4,Data[#Headers],0))</f>
        <v>17484</v>
      </c>
      <c r="F255" s="22">
        <f>INDEX(Data[],MATCH($A255,Data[Dist],0),MATCH(F$4,Data[#Headers],0))</f>
        <v>16046</v>
      </c>
      <c r="G255" s="22">
        <f>INDEX(Data[],MATCH($A255,Data[Dist],0),MATCH(G$4,Data[#Headers],0))</f>
        <v>74029</v>
      </c>
      <c r="H255" s="22">
        <f>INDEX(Data[],MATCH($A255,Data[Dist],0),MATCH(H$4,Data[#Headers],0))</f>
        <v>1014223</v>
      </c>
      <c r="I255" s="22">
        <f>INDEX(Data[],MATCH($A255,Data[Dist],0),MATCH(I$4,Data[#Headers],0))</f>
        <v>1301600</v>
      </c>
      <c r="J255" s="23"/>
    </row>
    <row r="256" spans="1:10" x14ac:dyDescent="0.2">
      <c r="A256" s="20" t="str">
        <f>Data!B252</f>
        <v>5751</v>
      </c>
      <c r="B256" s="21" t="str">
        <f>INDEX(Data[],MATCH($A256,Data[Dist],0),MATCH(B$4,Data[#Headers],0))</f>
        <v>St Ansgar</v>
      </c>
      <c r="C256" s="22">
        <f>INDEX(Data[],MATCH($A256,Data[Dist],0),MATCH(C$4,Data[#Headers],0))</f>
        <v>100542</v>
      </c>
      <c r="D256" s="22">
        <f>INDEX(Data[],MATCH($A256,Data[Dist],0),MATCH(D$4,Data[#Headers],0))</f>
        <v>338297</v>
      </c>
      <c r="E256" s="22">
        <f>INDEX(Data[],MATCH($A256,Data[Dist],0),MATCH(E$4,Data[#Headers],0))</f>
        <v>37697</v>
      </c>
      <c r="F256" s="22">
        <f>INDEX(Data[],MATCH($A256,Data[Dist],0),MATCH(F$4,Data[#Headers],0))</f>
        <v>39674</v>
      </c>
      <c r="G256" s="22">
        <f>INDEX(Data[],MATCH($A256,Data[Dist],0),MATCH(G$4,Data[#Headers],0))</f>
        <v>194072</v>
      </c>
      <c r="H256" s="22">
        <f>INDEX(Data[],MATCH($A256,Data[Dist],0),MATCH(H$4,Data[#Headers],0))</f>
        <v>2093871</v>
      </c>
      <c r="I256" s="22">
        <f>INDEX(Data[],MATCH($A256,Data[Dist],0),MATCH(I$4,Data[#Headers],0))</f>
        <v>2804153</v>
      </c>
      <c r="J256" s="23"/>
    </row>
    <row r="257" spans="1:10" x14ac:dyDescent="0.2">
      <c r="A257" s="20" t="str">
        <f>Data!B253</f>
        <v>5805</v>
      </c>
      <c r="B257" s="21" t="str">
        <f>INDEX(Data[],MATCH($A257,Data[Dist],0),MATCH(B$4,Data[#Headers],0))</f>
        <v>Saydel</v>
      </c>
      <c r="C257" s="22">
        <f>INDEX(Data[],MATCH($A257,Data[Dist],0),MATCH(C$4,Data[#Headers],0))</f>
        <v>187679</v>
      </c>
      <c r="D257" s="22">
        <f>INDEX(Data[],MATCH($A257,Data[Dist],0),MATCH(D$4,Data[#Headers],0))</f>
        <v>697229</v>
      </c>
      <c r="E257" s="22">
        <f>INDEX(Data[],MATCH($A257,Data[Dist],0),MATCH(E$4,Data[#Headers],0))</f>
        <v>89586</v>
      </c>
      <c r="F257" s="22">
        <f>INDEX(Data[],MATCH($A257,Data[Dist],0),MATCH(F$4,Data[#Headers],0))</f>
        <v>74731</v>
      </c>
      <c r="G257" s="22">
        <f>INDEX(Data[],MATCH($A257,Data[Dist],0),MATCH(G$4,Data[#Headers],0))</f>
        <v>365484</v>
      </c>
      <c r="H257" s="22">
        <f>INDEX(Data[],MATCH($A257,Data[Dist],0),MATCH(H$4,Data[#Headers],0))</f>
        <v>2785070</v>
      </c>
      <c r="I257" s="22">
        <f>INDEX(Data[],MATCH($A257,Data[Dist],0),MATCH(I$4,Data[#Headers],0))</f>
        <v>4199779</v>
      </c>
      <c r="J257" s="23"/>
    </row>
    <row r="258" spans="1:10" x14ac:dyDescent="0.2">
      <c r="A258" s="20" t="str">
        <f>Data!B254</f>
        <v>5823</v>
      </c>
      <c r="B258" s="21" t="str">
        <f>INDEX(Data[],MATCH($A258,Data[Dist],0),MATCH(B$4,Data[#Headers],0))</f>
        <v>Schaller-Crestland</v>
      </c>
      <c r="C258" s="22">
        <f>INDEX(Data[],MATCH($A258,Data[Dist],0),MATCH(C$4,Data[#Headers],0))</f>
        <v>77083</v>
      </c>
      <c r="D258" s="22">
        <f>INDEX(Data[],MATCH($A258,Data[Dist],0),MATCH(D$4,Data[#Headers],0))</f>
        <v>217301</v>
      </c>
      <c r="E258" s="22">
        <f>INDEX(Data[],MATCH($A258,Data[Dist],0),MATCH(E$4,Data[#Headers],0))</f>
        <v>21172</v>
      </c>
      <c r="F258" s="22">
        <f>INDEX(Data[],MATCH($A258,Data[Dist],0),MATCH(F$4,Data[#Headers],0))</f>
        <v>24454</v>
      </c>
      <c r="G258" s="22">
        <f>INDEX(Data[],MATCH($A258,Data[Dist],0),MATCH(G$4,Data[#Headers],0))</f>
        <v>114470</v>
      </c>
      <c r="H258" s="22">
        <f>INDEX(Data[],MATCH($A258,Data[Dist],0),MATCH(H$4,Data[#Headers],0))</f>
        <v>1213711</v>
      </c>
      <c r="I258" s="22">
        <f>INDEX(Data[],MATCH($A258,Data[Dist],0),MATCH(I$4,Data[#Headers],0))</f>
        <v>1668191</v>
      </c>
      <c r="J258" s="23"/>
    </row>
    <row r="259" spans="1:10" x14ac:dyDescent="0.2">
      <c r="A259" s="20" t="str">
        <f>Data!B255</f>
        <v>5832</v>
      </c>
      <c r="B259" s="21" t="str">
        <f>INDEX(Data[],MATCH($A259,Data[Dist],0),MATCH(B$4,Data[#Headers],0))</f>
        <v>Schleswig</v>
      </c>
      <c r="C259" s="22">
        <f>INDEX(Data[],MATCH($A259,Data[Dist],0),MATCH(C$4,Data[#Headers],0))</f>
        <v>53623</v>
      </c>
      <c r="D259" s="22">
        <f>INDEX(Data[],MATCH($A259,Data[Dist],0),MATCH(D$4,Data[#Headers],0))</f>
        <v>139115</v>
      </c>
      <c r="E259" s="22">
        <f>INDEX(Data[],MATCH($A259,Data[Dist],0),MATCH(E$4,Data[#Headers],0))</f>
        <v>16618</v>
      </c>
      <c r="F259" s="22">
        <f>INDEX(Data[],MATCH($A259,Data[Dist],0),MATCH(F$4,Data[#Headers],0))</f>
        <v>12288</v>
      </c>
      <c r="G259" s="22">
        <f>INDEX(Data[],MATCH($A259,Data[Dist],0),MATCH(G$4,Data[#Headers],0))</f>
        <v>88705</v>
      </c>
      <c r="H259" s="22">
        <f>INDEX(Data[],MATCH($A259,Data[Dist],0),MATCH(H$4,Data[#Headers],0))</f>
        <v>1003785</v>
      </c>
      <c r="I259" s="22">
        <f>INDEX(Data[],MATCH($A259,Data[Dist],0),MATCH(I$4,Data[#Headers],0))</f>
        <v>1314134</v>
      </c>
      <c r="J259" s="23"/>
    </row>
    <row r="260" spans="1:10" x14ac:dyDescent="0.2">
      <c r="A260" s="20" t="str">
        <f>Data!B256</f>
        <v>5877</v>
      </c>
      <c r="B260" s="21" t="str">
        <f>INDEX(Data[],MATCH($A260,Data[Dist],0),MATCH(B$4,Data[#Headers],0))</f>
        <v>Sergeant Bluff-Luton</v>
      </c>
      <c r="C260" s="22">
        <f>INDEX(Data[],MATCH($A260,Data[Dist],0),MATCH(C$4,Data[#Headers],0))</f>
        <v>254708</v>
      </c>
      <c r="D260" s="22">
        <f>INDEX(Data[],MATCH($A260,Data[Dist],0),MATCH(D$4,Data[#Headers],0))</f>
        <v>843827</v>
      </c>
      <c r="E260" s="22">
        <f>INDEX(Data[],MATCH($A260,Data[Dist],0),MATCH(E$4,Data[#Headers],0))</f>
        <v>99423</v>
      </c>
      <c r="F260" s="22">
        <f>INDEX(Data[],MATCH($A260,Data[Dist],0),MATCH(F$4,Data[#Headers],0))</f>
        <v>102136</v>
      </c>
      <c r="G260" s="22">
        <f>INDEX(Data[],MATCH($A260,Data[Dist],0),MATCH(G$4,Data[#Headers],0))</f>
        <v>468625</v>
      </c>
      <c r="H260" s="22">
        <f>INDEX(Data[],MATCH($A260,Data[Dist],0),MATCH(H$4,Data[#Headers],0))</f>
        <v>5471611</v>
      </c>
      <c r="I260" s="22">
        <f>INDEX(Data[],MATCH($A260,Data[Dist],0),MATCH(I$4,Data[#Headers],0))</f>
        <v>7240330</v>
      </c>
      <c r="J260" s="23"/>
    </row>
    <row r="261" spans="1:10" x14ac:dyDescent="0.2">
      <c r="A261" s="20" t="str">
        <f>Data!B257</f>
        <v>5895</v>
      </c>
      <c r="B261" s="21" t="str">
        <f>INDEX(Data[],MATCH($A261,Data[Dist],0),MATCH(B$4,Data[#Headers],0))</f>
        <v>Seymour</v>
      </c>
      <c r="C261" s="22">
        <f>INDEX(Data[],MATCH($A261,Data[Dist],0),MATCH(C$4,Data[#Headers],0))</f>
        <v>36866</v>
      </c>
      <c r="D261" s="22">
        <f>INDEX(Data[],MATCH($A261,Data[Dist],0),MATCH(D$4,Data[#Headers],0))</f>
        <v>212647</v>
      </c>
      <c r="E261" s="22">
        <f>INDEX(Data[],MATCH($A261,Data[Dist],0),MATCH(E$4,Data[#Headers],0))</f>
        <v>23944</v>
      </c>
      <c r="F261" s="22">
        <f>INDEX(Data[],MATCH($A261,Data[Dist],0),MATCH(F$4,Data[#Headers],0))</f>
        <v>23429</v>
      </c>
      <c r="G261" s="22">
        <f>INDEX(Data[],MATCH($A261,Data[Dist],0),MATCH(G$4,Data[#Headers],0))</f>
        <v>96852</v>
      </c>
      <c r="H261" s="22">
        <f>INDEX(Data[],MATCH($A261,Data[Dist],0),MATCH(H$4,Data[#Headers],0))</f>
        <v>1376533</v>
      </c>
      <c r="I261" s="22">
        <f>INDEX(Data[],MATCH($A261,Data[Dist],0),MATCH(I$4,Data[#Headers],0))</f>
        <v>1770271</v>
      </c>
      <c r="J261" s="23"/>
    </row>
    <row r="262" spans="1:10" x14ac:dyDescent="0.2">
      <c r="A262" s="20" t="str">
        <f>Data!B258</f>
        <v>5922</v>
      </c>
      <c r="B262" s="21" t="str">
        <f>INDEX(Data[],MATCH($A262,Data[Dist],0),MATCH(B$4,Data[#Headers],0))</f>
        <v>West Fork</v>
      </c>
      <c r="C262" s="22">
        <f>INDEX(Data[],MATCH($A262,Data[Dist],0),MATCH(C$4,Data[#Headers],0))</f>
        <v>140759</v>
      </c>
      <c r="D262" s="22">
        <f>INDEX(Data[],MATCH($A262,Data[Dist],0),MATCH(D$4,Data[#Headers],0))</f>
        <v>449221</v>
      </c>
      <c r="E262" s="22">
        <f>INDEX(Data[],MATCH($A262,Data[Dist],0),MATCH(E$4,Data[#Headers],0))</f>
        <v>41654</v>
      </c>
      <c r="F262" s="22">
        <f>INDEX(Data[],MATCH($A262,Data[Dist],0),MATCH(F$4,Data[#Headers],0))</f>
        <v>51537</v>
      </c>
      <c r="G262" s="22">
        <f>INDEX(Data[],MATCH($A262,Data[Dist],0),MATCH(G$4,Data[#Headers],0))</f>
        <v>228844</v>
      </c>
      <c r="H262" s="22">
        <f>INDEX(Data[],MATCH($A262,Data[Dist],0),MATCH(H$4,Data[#Headers],0))</f>
        <v>2713362</v>
      </c>
      <c r="I262" s="22">
        <f>INDEX(Data[],MATCH($A262,Data[Dist],0),MATCH(I$4,Data[#Headers],0))</f>
        <v>3625377</v>
      </c>
      <c r="J262" s="23"/>
    </row>
    <row r="263" spans="1:10" x14ac:dyDescent="0.2">
      <c r="A263" s="20" t="str">
        <f>Data!B259</f>
        <v>5949</v>
      </c>
      <c r="B263" s="21" t="str">
        <f>INDEX(Data[],MATCH($A263,Data[Dist],0),MATCH(B$4,Data[#Headers],0))</f>
        <v>Sheldon</v>
      </c>
      <c r="C263" s="22">
        <f>INDEX(Data[],MATCH($A263,Data[Dist],0),MATCH(C$4,Data[#Headers],0))</f>
        <v>281519</v>
      </c>
      <c r="D263" s="22">
        <f>INDEX(Data[],MATCH($A263,Data[Dist],0),MATCH(D$4,Data[#Headers],0))</f>
        <v>599697</v>
      </c>
      <c r="E263" s="22">
        <f>INDEX(Data[],MATCH($A263,Data[Dist],0),MATCH(E$4,Data[#Headers],0))</f>
        <v>74341</v>
      </c>
      <c r="F263" s="22">
        <f>INDEX(Data[],MATCH($A263,Data[Dist],0),MATCH(F$4,Data[#Headers],0))</f>
        <v>63411</v>
      </c>
      <c r="G263" s="22">
        <f>INDEX(Data[],MATCH($A263,Data[Dist],0),MATCH(G$4,Data[#Headers],0))</f>
        <v>349845</v>
      </c>
      <c r="H263" s="22">
        <f>INDEX(Data[],MATCH($A263,Data[Dist],0),MATCH(H$4,Data[#Headers],0))</f>
        <v>5218742</v>
      </c>
      <c r="I263" s="22">
        <f>INDEX(Data[],MATCH($A263,Data[Dist],0),MATCH(I$4,Data[#Headers],0))</f>
        <v>6587555</v>
      </c>
      <c r="J263" s="23"/>
    </row>
    <row r="264" spans="1:10" x14ac:dyDescent="0.2">
      <c r="A264" s="20" t="str">
        <f>Data!B260</f>
        <v>5976</v>
      </c>
      <c r="B264" s="21" t="str">
        <f>INDEX(Data[],MATCH($A264,Data[Dist],0),MATCH(B$4,Data[#Headers],0))</f>
        <v>Shenandoah</v>
      </c>
      <c r="C264" s="22">
        <f>INDEX(Data[],MATCH($A264,Data[Dist],0),MATCH(C$4,Data[#Headers],0))</f>
        <v>214491</v>
      </c>
      <c r="D264" s="22">
        <f>INDEX(Data[],MATCH($A264,Data[Dist],0),MATCH(D$4,Data[#Headers],0))</f>
        <v>662009</v>
      </c>
      <c r="E264" s="22">
        <f>INDEX(Data[],MATCH($A264,Data[Dist],0),MATCH(E$4,Data[#Headers],0))</f>
        <v>84109</v>
      </c>
      <c r="F264" s="22">
        <f>INDEX(Data[],MATCH($A264,Data[Dist],0),MATCH(F$4,Data[#Headers],0))</f>
        <v>71623</v>
      </c>
      <c r="G264" s="22">
        <f>INDEX(Data[],MATCH($A264,Data[Dist],0),MATCH(G$4,Data[#Headers],0))</f>
        <v>353567</v>
      </c>
      <c r="H264" s="22">
        <f>INDEX(Data[],MATCH($A264,Data[Dist],0),MATCH(H$4,Data[#Headers],0))</f>
        <v>5270274</v>
      </c>
      <c r="I264" s="22">
        <f>INDEX(Data[],MATCH($A264,Data[Dist],0),MATCH(I$4,Data[#Headers],0))</f>
        <v>6656073</v>
      </c>
      <c r="J264" s="23"/>
    </row>
    <row r="265" spans="1:10" x14ac:dyDescent="0.2">
      <c r="A265" s="20" t="str">
        <f>Data!B261</f>
        <v>5994</v>
      </c>
      <c r="B265" s="21" t="str">
        <f>INDEX(Data[],MATCH($A265,Data[Dist],0),MATCH(B$4,Data[#Headers],0))</f>
        <v>Sibley-Ocheyedan</v>
      </c>
      <c r="C265" s="22">
        <f>INDEX(Data[],MATCH($A265,Data[Dist],0),MATCH(C$4,Data[#Headers],0))</f>
        <v>157517</v>
      </c>
      <c r="D265" s="22">
        <f>INDEX(Data[],MATCH($A265,Data[Dist],0),MATCH(D$4,Data[#Headers],0))</f>
        <v>469501</v>
      </c>
      <c r="E265" s="22">
        <f>INDEX(Data[],MATCH($A265,Data[Dist],0),MATCH(E$4,Data[#Headers],0))</f>
        <v>54839</v>
      </c>
      <c r="F265" s="22">
        <f>INDEX(Data[],MATCH($A265,Data[Dist],0),MATCH(F$4,Data[#Headers],0))</f>
        <v>47824</v>
      </c>
      <c r="G265" s="22">
        <f>INDEX(Data[],MATCH($A265,Data[Dist],0),MATCH(G$4,Data[#Headers],0))</f>
        <v>252254</v>
      </c>
      <c r="H265" s="22">
        <f>INDEX(Data[],MATCH($A265,Data[Dist],0),MATCH(H$4,Data[#Headers],0))</f>
        <v>3355302</v>
      </c>
      <c r="I265" s="22">
        <f>INDEX(Data[],MATCH($A265,Data[Dist],0),MATCH(I$4,Data[#Headers],0))</f>
        <v>4337237</v>
      </c>
      <c r="J265" s="23"/>
    </row>
    <row r="266" spans="1:10" x14ac:dyDescent="0.2">
      <c r="A266" s="20" t="str">
        <f>Data!B262</f>
        <v>6003</v>
      </c>
      <c r="B266" s="21" t="str">
        <f>INDEX(Data[],MATCH($A266,Data[Dist],0),MATCH(B$4,Data[#Headers],0))</f>
        <v>Sidney</v>
      </c>
      <c r="C266" s="22">
        <f>INDEX(Data[],MATCH($A266,Data[Dist],0),MATCH(C$4,Data[#Headers],0))</f>
        <v>100542</v>
      </c>
      <c r="D266" s="22">
        <f>INDEX(Data[],MATCH($A266,Data[Dist],0),MATCH(D$4,Data[#Headers],0))</f>
        <v>263920</v>
      </c>
      <c r="E266" s="22">
        <f>INDEX(Data[],MATCH($A266,Data[Dist],0),MATCH(E$4,Data[#Headers],0))</f>
        <v>29592</v>
      </c>
      <c r="F266" s="22">
        <f>INDEX(Data[],MATCH($A266,Data[Dist],0),MATCH(F$4,Data[#Headers],0))</f>
        <v>27822</v>
      </c>
      <c r="G266" s="22">
        <f>INDEX(Data[],MATCH($A266,Data[Dist],0),MATCH(G$4,Data[#Headers],0))</f>
        <v>132185</v>
      </c>
      <c r="H266" s="22">
        <f>INDEX(Data[],MATCH($A266,Data[Dist],0),MATCH(H$4,Data[#Headers],0))</f>
        <v>1947098</v>
      </c>
      <c r="I266" s="22">
        <f>INDEX(Data[],MATCH($A266,Data[Dist],0),MATCH(I$4,Data[#Headers],0))</f>
        <v>2501159</v>
      </c>
      <c r="J266" s="23"/>
    </row>
    <row r="267" spans="1:10" x14ac:dyDescent="0.2">
      <c r="A267" s="20" t="str">
        <f>Data!B263</f>
        <v>6012</v>
      </c>
      <c r="B267" s="21" t="str">
        <f>INDEX(Data[],MATCH($A267,Data[Dist],0),MATCH(B$4,Data[#Headers],0))</f>
        <v>Sigourney</v>
      </c>
      <c r="C267" s="22">
        <f>INDEX(Data[],MATCH($A267,Data[Dist],0),MATCH(C$4,Data[#Headers],0))</f>
        <v>100542</v>
      </c>
      <c r="D267" s="22">
        <f>INDEX(Data[],MATCH($A267,Data[Dist],0),MATCH(D$4,Data[#Headers],0))</f>
        <v>341712</v>
      </c>
      <c r="E267" s="22">
        <f>INDEX(Data[],MATCH($A267,Data[Dist],0),MATCH(E$4,Data[#Headers],0))</f>
        <v>37146</v>
      </c>
      <c r="F267" s="22">
        <f>INDEX(Data[],MATCH($A267,Data[Dist],0),MATCH(F$4,Data[#Headers],0))</f>
        <v>35736</v>
      </c>
      <c r="G267" s="22">
        <f>INDEX(Data[],MATCH($A267,Data[Dist],0),MATCH(G$4,Data[#Headers],0))</f>
        <v>179118</v>
      </c>
      <c r="H267" s="22">
        <f>INDEX(Data[],MATCH($A267,Data[Dist],0),MATCH(H$4,Data[#Headers],0))</f>
        <v>2748826</v>
      </c>
      <c r="I267" s="22">
        <f>INDEX(Data[],MATCH($A267,Data[Dist],0),MATCH(I$4,Data[#Headers],0))</f>
        <v>3443080</v>
      </c>
      <c r="J267" s="23"/>
    </row>
    <row r="268" spans="1:10" x14ac:dyDescent="0.2">
      <c r="A268" s="20" t="str">
        <f>Data!B264</f>
        <v>6030</v>
      </c>
      <c r="B268" s="21" t="str">
        <f>INDEX(Data[],MATCH($A268,Data[Dist],0),MATCH(B$4,Data[#Headers],0))</f>
        <v>Sioux Center</v>
      </c>
      <c r="C268" s="22">
        <f>INDEX(Data[],MATCH($A268,Data[Dist],0),MATCH(C$4,Data[#Headers],0))</f>
        <v>439035</v>
      </c>
      <c r="D268" s="22">
        <f>INDEX(Data[],MATCH($A268,Data[Dist],0),MATCH(D$4,Data[#Headers],0))</f>
        <v>762685</v>
      </c>
      <c r="E268" s="22">
        <f>INDEX(Data[],MATCH($A268,Data[Dist],0),MATCH(E$4,Data[#Headers],0))</f>
        <v>103153</v>
      </c>
      <c r="F268" s="22">
        <f>INDEX(Data[],MATCH($A268,Data[Dist],0),MATCH(F$4,Data[#Headers],0))</f>
        <v>98099</v>
      </c>
      <c r="G268" s="22">
        <f>INDEX(Data[],MATCH($A268,Data[Dist],0),MATCH(G$4,Data[#Headers],0))</f>
        <v>425299</v>
      </c>
      <c r="H268" s="22">
        <f>INDEX(Data[],MATCH($A268,Data[Dist],0),MATCH(H$4,Data[#Headers],0))</f>
        <v>6264089</v>
      </c>
      <c r="I268" s="22">
        <f>INDEX(Data[],MATCH($A268,Data[Dist],0),MATCH(I$4,Data[#Headers],0))</f>
        <v>8092360</v>
      </c>
      <c r="J268" s="23"/>
    </row>
    <row r="269" spans="1:10" x14ac:dyDescent="0.2">
      <c r="A269" s="20" t="str">
        <f>Data!B265</f>
        <v>6039</v>
      </c>
      <c r="B269" s="21" t="str">
        <f>INDEX(Data[],MATCH($A269,Data[Dist],0),MATCH(B$4,Data[#Headers],0))</f>
        <v>Sioux City</v>
      </c>
      <c r="C269" s="22">
        <f>INDEX(Data[],MATCH($A269,Data[Dist],0),MATCH(C$4,Data[#Headers],0))</f>
        <v>2614104</v>
      </c>
      <c r="D269" s="22">
        <f>INDEX(Data[],MATCH($A269,Data[Dist],0),MATCH(D$4,Data[#Headers],0))</f>
        <v>8181911</v>
      </c>
      <c r="E269" s="22">
        <f>INDEX(Data[],MATCH($A269,Data[Dist],0),MATCH(E$4,Data[#Headers],0))</f>
        <v>1221957</v>
      </c>
      <c r="F269" s="22">
        <f>INDEX(Data[],MATCH($A269,Data[Dist],0),MATCH(F$4,Data[#Headers],0))</f>
        <v>975648</v>
      </c>
      <c r="G269" s="22">
        <f>INDEX(Data[],MATCH($A269,Data[Dist],0),MATCH(G$4,Data[#Headers],0))</f>
        <v>4741727</v>
      </c>
      <c r="H269" s="22">
        <f>INDEX(Data[],MATCH($A269,Data[Dist],0),MATCH(H$4,Data[#Headers],0))</f>
        <v>91792448</v>
      </c>
      <c r="I269" s="22">
        <f>INDEX(Data[],MATCH($A269,Data[Dist],0),MATCH(I$4,Data[#Headers],0))</f>
        <v>109527795</v>
      </c>
      <c r="J269" s="23"/>
    </row>
    <row r="270" spans="1:10" x14ac:dyDescent="0.2">
      <c r="A270" s="20" t="str">
        <f>Data!B266</f>
        <v>6048</v>
      </c>
      <c r="B270" s="21" t="str">
        <f>INDEX(Data[],MATCH($A270,Data[Dist],0),MATCH(B$4,Data[#Headers],0))</f>
        <v>Sioux Central</v>
      </c>
      <c r="C270" s="22">
        <f>INDEX(Data[],MATCH($A270,Data[Dist],0),MATCH(C$4,Data[#Headers],0))</f>
        <v>100542</v>
      </c>
      <c r="D270" s="22">
        <f>INDEX(Data[],MATCH($A270,Data[Dist],0),MATCH(D$4,Data[#Headers],0))</f>
        <v>343901</v>
      </c>
      <c r="E270" s="22">
        <f>INDEX(Data[],MATCH($A270,Data[Dist],0),MATCH(E$4,Data[#Headers],0))</f>
        <v>35814</v>
      </c>
      <c r="F270" s="22">
        <f>INDEX(Data[],MATCH($A270,Data[Dist],0),MATCH(F$4,Data[#Headers],0))</f>
        <v>39393</v>
      </c>
      <c r="G270" s="22">
        <f>INDEX(Data[],MATCH($A270,Data[Dist],0),MATCH(G$4,Data[#Headers],0))</f>
        <v>160312</v>
      </c>
      <c r="H270" s="22">
        <f>INDEX(Data[],MATCH($A270,Data[Dist],0),MATCH(H$4,Data[#Headers],0))</f>
        <v>1893245</v>
      </c>
      <c r="I270" s="22">
        <f>INDEX(Data[],MATCH($A270,Data[Dist],0),MATCH(I$4,Data[#Headers],0))</f>
        <v>2573207</v>
      </c>
      <c r="J270" s="23"/>
    </row>
    <row r="271" spans="1:10" x14ac:dyDescent="0.2">
      <c r="A271" s="20" t="str">
        <f>Data!B267</f>
        <v>6091</v>
      </c>
      <c r="B271" s="21" t="str">
        <f>INDEX(Data[],MATCH($A271,Data[Dist],0),MATCH(B$4,Data[#Headers],0))</f>
        <v>South Central Calhoun</v>
      </c>
      <c r="C271" s="22">
        <f>INDEX(Data[],MATCH($A271,Data[Dist],0),MATCH(C$4,Data[#Headers],0))</f>
        <v>204436</v>
      </c>
      <c r="D271" s="22">
        <f>INDEX(Data[],MATCH($A271,Data[Dist],0),MATCH(D$4,Data[#Headers],0))</f>
        <v>587199</v>
      </c>
      <c r="E271" s="22">
        <f>INDEX(Data[],MATCH($A271,Data[Dist],0),MATCH(E$4,Data[#Headers],0))</f>
        <v>63238</v>
      </c>
      <c r="F271" s="22">
        <f>INDEX(Data[],MATCH($A271,Data[Dist],0),MATCH(F$4,Data[#Headers],0))</f>
        <v>59908</v>
      </c>
      <c r="G271" s="22">
        <f>INDEX(Data[],MATCH($A271,Data[Dist],0),MATCH(G$4,Data[#Headers],0))</f>
        <v>297441</v>
      </c>
      <c r="H271" s="22">
        <f>INDEX(Data[],MATCH($A271,Data[Dist],0),MATCH(H$4,Data[#Headers],0))</f>
        <v>3455256</v>
      </c>
      <c r="I271" s="22">
        <f>INDEX(Data[],MATCH($A271,Data[Dist],0),MATCH(I$4,Data[#Headers],0))</f>
        <v>4667478</v>
      </c>
      <c r="J271" s="23"/>
    </row>
    <row r="272" spans="1:10" x14ac:dyDescent="0.2">
      <c r="A272" s="20" t="str">
        <f>Data!B268</f>
        <v>6093</v>
      </c>
      <c r="B272" s="21" t="str">
        <f>INDEX(Data[],MATCH($A272,Data[Dist],0),MATCH(B$4,Data[#Headers],0))</f>
        <v>Solon</v>
      </c>
      <c r="C272" s="22">
        <f>INDEX(Data[],MATCH($A272,Data[Dist],0),MATCH(C$4,Data[#Headers],0))</f>
        <v>194382</v>
      </c>
      <c r="D272" s="22">
        <f>INDEX(Data[],MATCH($A272,Data[Dist],0),MATCH(D$4,Data[#Headers],0))</f>
        <v>750060</v>
      </c>
      <c r="E272" s="22">
        <f>INDEX(Data[],MATCH($A272,Data[Dist],0),MATCH(E$4,Data[#Headers],0))</f>
        <v>70821</v>
      </c>
      <c r="F272" s="22">
        <f>INDEX(Data[],MATCH($A272,Data[Dist],0),MATCH(F$4,Data[#Headers],0))</f>
        <v>77593</v>
      </c>
      <c r="G272" s="22">
        <f>INDEX(Data[],MATCH($A272,Data[Dist],0),MATCH(G$4,Data[#Headers],0))</f>
        <v>441363</v>
      </c>
      <c r="H272" s="22">
        <f>INDEX(Data[],MATCH($A272,Data[Dist],0),MATCH(H$4,Data[#Headers],0))</f>
        <v>5967120</v>
      </c>
      <c r="I272" s="22">
        <f>INDEX(Data[],MATCH($A272,Data[Dist],0),MATCH(I$4,Data[#Headers],0))</f>
        <v>7501339</v>
      </c>
      <c r="J272" s="23"/>
    </row>
    <row r="273" spans="1:10" x14ac:dyDescent="0.2">
      <c r="A273" s="20" t="str">
        <f>Data!B269</f>
        <v>6094</v>
      </c>
      <c r="B273" s="21" t="str">
        <f>INDEX(Data[],MATCH($A273,Data[Dist],0),MATCH(B$4,Data[#Headers],0))</f>
        <v>Southeast Warren</v>
      </c>
      <c r="C273" s="22">
        <f>INDEX(Data[],MATCH($A273,Data[Dist],0),MATCH(C$4,Data[#Headers],0))</f>
        <v>90488</v>
      </c>
      <c r="D273" s="22">
        <f>INDEX(Data[],MATCH($A273,Data[Dist],0),MATCH(D$4,Data[#Headers],0))</f>
        <v>340876</v>
      </c>
      <c r="E273" s="22">
        <f>INDEX(Data[],MATCH($A273,Data[Dist],0),MATCH(E$4,Data[#Headers],0))</f>
        <v>34594</v>
      </c>
      <c r="F273" s="22">
        <f>INDEX(Data[],MATCH($A273,Data[Dist],0),MATCH(F$4,Data[#Headers],0))</f>
        <v>35972</v>
      </c>
      <c r="G273" s="22">
        <f>INDEX(Data[],MATCH($A273,Data[Dist],0),MATCH(G$4,Data[#Headers],0))</f>
        <v>188046</v>
      </c>
      <c r="H273" s="22">
        <f>INDEX(Data[],MATCH($A273,Data[Dist],0),MATCH(H$4,Data[#Headers],0))</f>
        <v>2959470</v>
      </c>
      <c r="I273" s="22">
        <f>INDEX(Data[],MATCH($A273,Data[Dist],0),MATCH(I$4,Data[#Headers],0))</f>
        <v>3649446</v>
      </c>
      <c r="J273" s="23"/>
    </row>
    <row r="274" spans="1:10" x14ac:dyDescent="0.2">
      <c r="A274" s="20" t="str">
        <f>Data!B270</f>
        <v>6095</v>
      </c>
      <c r="B274" s="21" t="str">
        <f>INDEX(Data[],MATCH($A274,Data[Dist],0),MATCH(B$4,Data[#Headers],0))</f>
        <v>South Hamilton</v>
      </c>
      <c r="C274" s="22">
        <f>INDEX(Data[],MATCH($A274,Data[Dist],0),MATCH(C$4,Data[#Headers],0))</f>
        <v>124002</v>
      </c>
      <c r="D274" s="22">
        <f>INDEX(Data[],MATCH($A274,Data[Dist],0),MATCH(D$4,Data[#Headers],0))</f>
        <v>411019</v>
      </c>
      <c r="E274" s="22">
        <f>INDEX(Data[],MATCH($A274,Data[Dist],0),MATCH(E$4,Data[#Headers],0))</f>
        <v>46273</v>
      </c>
      <c r="F274" s="22">
        <f>INDEX(Data[],MATCH($A274,Data[Dist],0),MATCH(F$4,Data[#Headers],0))</f>
        <v>48598</v>
      </c>
      <c r="G274" s="22">
        <f>INDEX(Data[],MATCH($A274,Data[Dist],0),MATCH(G$4,Data[#Headers],0))</f>
        <v>208013</v>
      </c>
      <c r="H274" s="22">
        <f>INDEX(Data[],MATCH($A274,Data[Dist],0),MATCH(H$4,Data[#Headers],0))</f>
        <v>2601249</v>
      </c>
      <c r="I274" s="22">
        <f>INDEX(Data[],MATCH($A274,Data[Dist],0),MATCH(I$4,Data[#Headers],0))</f>
        <v>3439154</v>
      </c>
      <c r="J274" s="23"/>
    </row>
    <row r="275" spans="1:10" x14ac:dyDescent="0.2">
      <c r="A275" s="20" t="str">
        <f>Data!B271</f>
        <v>6096</v>
      </c>
      <c r="B275" s="21" t="str">
        <f>INDEX(Data[],MATCH($A275,Data[Dist],0),MATCH(B$4,Data[#Headers],0))</f>
        <v>Southeast Webster-Grand</v>
      </c>
      <c r="C275" s="22">
        <f>INDEX(Data[],MATCH($A275,Data[Dist],0),MATCH(C$4,Data[#Headers],0))</f>
        <v>83785</v>
      </c>
      <c r="D275" s="22">
        <f>INDEX(Data[],MATCH($A275,Data[Dist],0),MATCH(D$4,Data[#Headers],0))</f>
        <v>352979</v>
      </c>
      <c r="E275" s="22">
        <f>INDEX(Data[],MATCH($A275,Data[Dist],0),MATCH(E$4,Data[#Headers],0))</f>
        <v>42746</v>
      </c>
      <c r="F275" s="22">
        <f>INDEX(Data[],MATCH($A275,Data[Dist],0),MATCH(F$4,Data[#Headers],0))</f>
        <v>41047</v>
      </c>
      <c r="G275" s="22">
        <f>INDEX(Data[],MATCH($A275,Data[Dist],0),MATCH(G$4,Data[#Headers],0))</f>
        <v>179575</v>
      </c>
      <c r="H275" s="22">
        <f>INDEX(Data[],MATCH($A275,Data[Dist],0),MATCH(H$4,Data[#Headers],0))</f>
        <v>2682196</v>
      </c>
      <c r="I275" s="22">
        <f>INDEX(Data[],MATCH($A275,Data[Dist],0),MATCH(I$4,Data[#Headers],0))</f>
        <v>3382328</v>
      </c>
      <c r="J275" s="23"/>
    </row>
    <row r="276" spans="1:10" x14ac:dyDescent="0.2">
      <c r="A276" s="20" t="str">
        <f>Data!B272</f>
        <v>6097</v>
      </c>
      <c r="B276" s="21" t="str">
        <f>INDEX(Data[],MATCH($A276,Data[Dist],0),MATCH(B$4,Data[#Headers],0))</f>
        <v>South Page</v>
      </c>
      <c r="C276" s="22">
        <f>INDEX(Data[],MATCH($A276,Data[Dist],0),MATCH(C$4,Data[#Headers],0))</f>
        <v>40217</v>
      </c>
      <c r="D276" s="22">
        <f>INDEX(Data[],MATCH($A276,Data[Dist],0),MATCH(D$4,Data[#Headers],0))</f>
        <v>139900</v>
      </c>
      <c r="E276" s="22">
        <f>INDEX(Data[],MATCH($A276,Data[Dist],0),MATCH(E$4,Data[#Headers],0))</f>
        <v>11602</v>
      </c>
      <c r="F276" s="22">
        <f>INDEX(Data[],MATCH($A276,Data[Dist],0),MATCH(F$4,Data[#Headers],0))</f>
        <v>14081</v>
      </c>
      <c r="G276" s="22">
        <f>INDEX(Data[],MATCH($A276,Data[Dist],0),MATCH(G$4,Data[#Headers],0))</f>
        <v>67618</v>
      </c>
      <c r="H276" s="22">
        <f>INDEX(Data[],MATCH($A276,Data[Dist],0),MATCH(H$4,Data[#Headers],0))</f>
        <v>958594</v>
      </c>
      <c r="I276" s="22">
        <f>INDEX(Data[],MATCH($A276,Data[Dist],0),MATCH(I$4,Data[#Headers],0))</f>
        <v>1232012</v>
      </c>
      <c r="J276" s="23"/>
    </row>
    <row r="277" spans="1:10" x14ac:dyDescent="0.2">
      <c r="A277" s="20" t="str">
        <f>Data!B273</f>
        <v>6098</v>
      </c>
      <c r="B277" s="21" t="str">
        <f>INDEX(Data[],MATCH($A277,Data[Dist],0),MATCH(B$4,Data[#Headers],0))</f>
        <v>South Tama</v>
      </c>
      <c r="C277" s="22">
        <f>INDEX(Data[],MATCH($A277,Data[Dist],0),MATCH(C$4,Data[#Headers],0))</f>
        <v>284870</v>
      </c>
      <c r="D277" s="22">
        <f>INDEX(Data[],MATCH($A277,Data[Dist],0),MATCH(D$4,Data[#Headers],0))</f>
        <v>928264</v>
      </c>
      <c r="E277" s="22">
        <f>INDEX(Data[],MATCH($A277,Data[Dist],0),MATCH(E$4,Data[#Headers],0))</f>
        <v>121194</v>
      </c>
      <c r="F277" s="22">
        <f>INDEX(Data[],MATCH($A277,Data[Dist],0),MATCH(F$4,Data[#Headers],0))</f>
        <v>96607</v>
      </c>
      <c r="G277" s="22">
        <f>INDEX(Data[],MATCH($A277,Data[Dist],0),MATCH(G$4,Data[#Headers],0))</f>
        <v>505918</v>
      </c>
      <c r="H277" s="22">
        <f>INDEX(Data[],MATCH($A277,Data[Dist],0),MATCH(H$4,Data[#Headers],0))</f>
        <v>8963634</v>
      </c>
      <c r="I277" s="22">
        <f>INDEX(Data[],MATCH($A277,Data[Dist],0),MATCH(I$4,Data[#Headers],0))</f>
        <v>10900487</v>
      </c>
      <c r="J277" s="23"/>
    </row>
    <row r="278" spans="1:10" x14ac:dyDescent="0.2">
      <c r="A278" s="20" t="str">
        <f>Data!B274</f>
        <v>6100</v>
      </c>
      <c r="B278" s="21" t="str">
        <f>INDEX(Data[],MATCH($A278,Data[Dist],0),MATCH(B$4,Data[#Headers],0))</f>
        <v>South Winneshiek</v>
      </c>
      <c r="C278" s="22">
        <f>INDEX(Data[],MATCH($A278,Data[Dist],0),MATCH(C$4,Data[#Headers],0))</f>
        <v>160868</v>
      </c>
      <c r="D278" s="22">
        <f>INDEX(Data[],MATCH($A278,Data[Dist],0),MATCH(D$4,Data[#Headers],0))</f>
        <v>303677</v>
      </c>
      <c r="E278" s="22">
        <f>INDEX(Data[],MATCH($A278,Data[Dist],0),MATCH(E$4,Data[#Headers],0))</f>
        <v>26424</v>
      </c>
      <c r="F278" s="22">
        <f>INDEX(Data[],MATCH($A278,Data[Dist],0),MATCH(F$4,Data[#Headers],0))</f>
        <v>34963</v>
      </c>
      <c r="G278" s="22">
        <f>INDEX(Data[],MATCH($A278,Data[Dist],0),MATCH(G$4,Data[#Headers],0))</f>
        <v>165191</v>
      </c>
      <c r="H278" s="22">
        <f>INDEX(Data[],MATCH($A278,Data[Dist],0),MATCH(H$4,Data[#Headers],0))</f>
        <v>2116168</v>
      </c>
      <c r="I278" s="22">
        <f>INDEX(Data[],MATCH($A278,Data[Dist],0),MATCH(I$4,Data[#Headers],0))</f>
        <v>2807291</v>
      </c>
      <c r="J278" s="23"/>
    </row>
    <row r="279" spans="1:10" x14ac:dyDescent="0.2">
      <c r="A279" s="20" t="str">
        <f>Data!B275</f>
        <v>6101</v>
      </c>
      <c r="B279" s="21" t="str">
        <f>INDEX(Data[],MATCH($A279,Data[Dist],0),MATCH(B$4,Data[#Headers],0))</f>
        <v>Southeast Polk</v>
      </c>
      <c r="C279" s="22">
        <f>INDEX(Data[],MATCH($A279,Data[Dist],0),MATCH(C$4,Data[#Headers],0))</f>
        <v>881442</v>
      </c>
      <c r="D279" s="22">
        <f>INDEX(Data[],MATCH($A279,Data[Dist],0),MATCH(D$4,Data[#Headers],0))</f>
        <v>3737359</v>
      </c>
      <c r="E279" s="22">
        <f>INDEX(Data[],MATCH($A279,Data[Dist],0),MATCH(E$4,Data[#Headers],0))</f>
        <v>424546</v>
      </c>
      <c r="F279" s="22">
        <f>INDEX(Data[],MATCH($A279,Data[Dist],0),MATCH(F$4,Data[#Headers],0))</f>
        <v>427899</v>
      </c>
      <c r="G279" s="22">
        <f>INDEX(Data[],MATCH($A279,Data[Dist],0),MATCH(G$4,Data[#Headers],0))</f>
        <v>2234272</v>
      </c>
      <c r="H279" s="22">
        <f>INDEX(Data[],MATCH($A279,Data[Dist],0),MATCH(H$4,Data[#Headers],0))</f>
        <v>35017999</v>
      </c>
      <c r="I279" s="22">
        <f>INDEX(Data[],MATCH($A279,Data[Dist],0),MATCH(I$4,Data[#Headers],0))</f>
        <v>42723517</v>
      </c>
      <c r="J279" s="23"/>
    </row>
    <row r="280" spans="1:10" x14ac:dyDescent="0.2">
      <c r="A280" s="20" t="str">
        <f>Data!B276</f>
        <v>6102</v>
      </c>
      <c r="B280" s="21" t="str">
        <f>INDEX(Data[],MATCH($A280,Data[Dist],0),MATCH(B$4,Data[#Headers],0))</f>
        <v>Spencer</v>
      </c>
      <c r="C280" s="22">
        <f>INDEX(Data[],MATCH($A280,Data[Dist],0),MATCH(C$4,Data[#Headers],0))</f>
        <v>509415</v>
      </c>
      <c r="D280" s="22">
        <f>INDEX(Data[],MATCH($A280,Data[Dist],0),MATCH(D$4,Data[#Headers],0))</f>
        <v>1115740</v>
      </c>
      <c r="E280" s="22">
        <f>INDEX(Data[],MATCH($A280,Data[Dist],0),MATCH(E$4,Data[#Headers],0))</f>
        <v>132202</v>
      </c>
      <c r="F280" s="22">
        <f>INDEX(Data[],MATCH($A280,Data[Dist],0),MATCH(F$4,Data[#Headers],0))</f>
        <v>134820</v>
      </c>
      <c r="G280" s="22">
        <f>INDEX(Data[],MATCH($A280,Data[Dist],0),MATCH(G$4,Data[#Headers],0))</f>
        <v>619371</v>
      </c>
      <c r="H280" s="22">
        <f>INDEX(Data[],MATCH($A280,Data[Dist],0),MATCH(H$4,Data[#Headers],0))</f>
        <v>9435877</v>
      </c>
      <c r="I280" s="22">
        <f>INDEX(Data[],MATCH($A280,Data[Dist],0),MATCH(I$4,Data[#Headers],0))</f>
        <v>11947425</v>
      </c>
      <c r="J280" s="23"/>
    </row>
    <row r="281" spans="1:10" x14ac:dyDescent="0.2">
      <c r="A281" s="20" t="str">
        <f>Data!B277</f>
        <v>6120</v>
      </c>
      <c r="B281" s="21" t="str">
        <f>INDEX(Data[],MATCH($A281,Data[Dist],0),MATCH(B$4,Data[#Headers],0))</f>
        <v>Spirit Lake</v>
      </c>
      <c r="C281" s="22">
        <f>INDEX(Data[],MATCH($A281,Data[Dist],0),MATCH(C$4,Data[#Headers],0))</f>
        <v>180976</v>
      </c>
      <c r="D281" s="22">
        <f>INDEX(Data[],MATCH($A281,Data[Dist],0),MATCH(D$4,Data[#Headers],0))</f>
        <v>676793</v>
      </c>
      <c r="E281" s="22">
        <f>INDEX(Data[],MATCH($A281,Data[Dist],0),MATCH(E$4,Data[#Headers],0))</f>
        <v>76672</v>
      </c>
      <c r="F281" s="22">
        <f>INDEX(Data[],MATCH($A281,Data[Dist],0),MATCH(F$4,Data[#Headers],0))</f>
        <v>80306</v>
      </c>
      <c r="G281" s="22">
        <f>INDEX(Data[],MATCH($A281,Data[Dist],0),MATCH(G$4,Data[#Headers],0))</f>
        <v>379067</v>
      </c>
      <c r="H281" s="22">
        <f>INDEX(Data[],MATCH($A281,Data[Dist],0),MATCH(H$4,Data[#Headers],0))</f>
        <v>1245560</v>
      </c>
      <c r="I281" s="22">
        <f>INDEX(Data[],MATCH($A281,Data[Dist],0),MATCH(I$4,Data[#Headers],0))</f>
        <v>2639374</v>
      </c>
      <c r="J281" s="23"/>
    </row>
    <row r="282" spans="1:10" x14ac:dyDescent="0.2">
      <c r="A282" s="20" t="str">
        <f>Data!B278</f>
        <v>6138</v>
      </c>
      <c r="B282" s="21" t="str">
        <f>INDEX(Data[],MATCH($A282,Data[Dist],0),MATCH(B$4,Data[#Headers],0))</f>
        <v>Springville</v>
      </c>
      <c r="C282" s="22">
        <f>INDEX(Data[],MATCH($A282,Data[Dist],0),MATCH(C$4,Data[#Headers],0))</f>
        <v>100562</v>
      </c>
      <c r="D282" s="22">
        <f>INDEX(Data[],MATCH($A282,Data[Dist],0),MATCH(D$4,Data[#Headers],0))</f>
        <v>244659</v>
      </c>
      <c r="E282" s="22">
        <f>INDEX(Data[],MATCH($A282,Data[Dist],0),MATCH(E$4,Data[#Headers],0))</f>
        <v>21588</v>
      </c>
      <c r="F282" s="22">
        <f>INDEX(Data[],MATCH($A282,Data[Dist],0),MATCH(F$4,Data[#Headers],0))</f>
        <v>23414</v>
      </c>
      <c r="G282" s="22">
        <f>INDEX(Data[],MATCH($A282,Data[Dist],0),MATCH(G$4,Data[#Headers],0))</f>
        <v>127368</v>
      </c>
      <c r="H282" s="22">
        <f>INDEX(Data[],MATCH($A282,Data[Dist],0),MATCH(H$4,Data[#Headers],0))</f>
        <v>1923649</v>
      </c>
      <c r="I282" s="22">
        <f>INDEX(Data[],MATCH($A282,Data[Dist],0),MATCH(I$4,Data[#Headers],0))</f>
        <v>2441240</v>
      </c>
      <c r="J282" s="23"/>
    </row>
    <row r="283" spans="1:10" x14ac:dyDescent="0.2">
      <c r="A283" s="20" t="str">
        <f>Data!B279</f>
        <v>6165</v>
      </c>
      <c r="B283" s="21" t="str">
        <f>INDEX(Data[],MATCH($A283,Data[Dist],0),MATCH(B$4,Data[#Headers],0))</f>
        <v>Stanton</v>
      </c>
      <c r="C283" s="22">
        <f>INDEX(Data[],MATCH($A283,Data[Dist],0),MATCH(C$4,Data[#Headers],0))</f>
        <v>46920</v>
      </c>
      <c r="D283" s="22">
        <f>INDEX(Data[],MATCH($A283,Data[Dist],0),MATCH(D$4,Data[#Headers],0))</f>
        <v>135867</v>
      </c>
      <c r="E283" s="22">
        <f>INDEX(Data[],MATCH($A283,Data[Dist],0),MATCH(E$4,Data[#Headers],0))</f>
        <v>13544</v>
      </c>
      <c r="F283" s="22">
        <f>INDEX(Data[],MATCH($A283,Data[Dist],0),MATCH(F$4,Data[#Headers],0))</f>
        <v>16830</v>
      </c>
      <c r="G283" s="22">
        <f>INDEX(Data[],MATCH($A283,Data[Dist],0),MATCH(G$4,Data[#Headers],0))</f>
        <v>65979</v>
      </c>
      <c r="H283" s="22">
        <f>INDEX(Data[],MATCH($A283,Data[Dist],0),MATCH(H$4,Data[#Headers],0))</f>
        <v>954405</v>
      </c>
      <c r="I283" s="22">
        <f>INDEX(Data[],MATCH($A283,Data[Dist],0),MATCH(I$4,Data[#Headers],0))</f>
        <v>1233545</v>
      </c>
      <c r="J283" s="23"/>
    </row>
    <row r="284" spans="1:10" x14ac:dyDescent="0.2">
      <c r="A284" s="20" t="str">
        <f>Data!B280</f>
        <v>6175</v>
      </c>
      <c r="B284" s="21" t="str">
        <f>INDEX(Data[],MATCH($A284,Data[Dist],0),MATCH(B$4,Data[#Headers],0))</f>
        <v>Starmont</v>
      </c>
      <c r="C284" s="22">
        <f>INDEX(Data[],MATCH($A284,Data[Dist],0),MATCH(C$4,Data[#Headers],0))</f>
        <v>127354</v>
      </c>
      <c r="D284" s="22">
        <f>INDEX(Data[],MATCH($A284,Data[Dist],0),MATCH(D$4,Data[#Headers],0))</f>
        <v>399086</v>
      </c>
      <c r="E284" s="22">
        <f>INDEX(Data[],MATCH($A284,Data[Dist],0),MATCH(E$4,Data[#Headers],0))</f>
        <v>49012</v>
      </c>
      <c r="F284" s="22">
        <f>INDEX(Data[],MATCH($A284,Data[Dist],0),MATCH(F$4,Data[#Headers],0))</f>
        <v>44256</v>
      </c>
      <c r="G284" s="22">
        <f>INDEX(Data[],MATCH($A284,Data[Dist],0),MATCH(G$4,Data[#Headers],0))</f>
        <v>204759</v>
      </c>
      <c r="H284" s="22">
        <f>INDEX(Data[],MATCH($A284,Data[Dist],0),MATCH(H$4,Data[#Headers],0))</f>
        <v>2868367</v>
      </c>
      <c r="I284" s="22">
        <f>INDEX(Data[],MATCH($A284,Data[Dist],0),MATCH(I$4,Data[#Headers],0))</f>
        <v>3692834</v>
      </c>
      <c r="J284" s="23"/>
    </row>
    <row r="285" spans="1:10" x14ac:dyDescent="0.2">
      <c r="A285" s="20" t="str">
        <f>Data!B281</f>
        <v>6219</v>
      </c>
      <c r="B285" s="21" t="str">
        <f>INDEX(Data[],MATCH($A285,Data[Dist],0),MATCH(B$4,Data[#Headers],0))</f>
        <v>Storm Lake</v>
      </c>
      <c r="C285" s="22">
        <f>INDEX(Data[],MATCH($A285,Data[Dist],0),MATCH(C$4,Data[#Headers],0))</f>
        <v>435684</v>
      </c>
      <c r="D285" s="22">
        <f>INDEX(Data[],MATCH($A285,Data[Dist],0),MATCH(D$4,Data[#Headers],0))</f>
        <v>1331700</v>
      </c>
      <c r="E285" s="22">
        <f>INDEX(Data[],MATCH($A285,Data[Dist],0),MATCH(E$4,Data[#Headers],0))</f>
        <v>196779</v>
      </c>
      <c r="F285" s="22">
        <f>INDEX(Data[],MATCH($A285,Data[Dist],0),MATCH(F$4,Data[#Headers],0))</f>
        <v>153544</v>
      </c>
      <c r="G285" s="22">
        <f>INDEX(Data[],MATCH($A285,Data[Dist],0),MATCH(G$4,Data[#Headers],0))</f>
        <v>767602</v>
      </c>
      <c r="H285" s="22">
        <f>INDEX(Data[],MATCH($A285,Data[Dist],0),MATCH(H$4,Data[#Headers],0))</f>
        <v>14676246</v>
      </c>
      <c r="I285" s="22">
        <f>INDEX(Data[],MATCH($A285,Data[Dist],0),MATCH(I$4,Data[#Headers],0))</f>
        <v>17561555</v>
      </c>
      <c r="J285" s="23"/>
    </row>
    <row r="286" spans="1:10" x14ac:dyDescent="0.2">
      <c r="A286" s="20" t="str">
        <f>Data!B282</f>
        <v>6246</v>
      </c>
      <c r="B286" s="21" t="str">
        <f>INDEX(Data[],MATCH($A286,Data[Dist],0),MATCH(B$4,Data[#Headers],0))</f>
        <v>Stratford</v>
      </c>
      <c r="C286" s="22">
        <f>INDEX(Data[],MATCH($A286,Data[Dist],0),MATCH(C$4,Data[#Headers],0))</f>
        <v>30163</v>
      </c>
      <c r="D286" s="22">
        <f>INDEX(Data[],MATCH($A286,Data[Dist],0),MATCH(D$4,Data[#Headers],0))</f>
        <v>88882</v>
      </c>
      <c r="E286" s="22">
        <f>INDEX(Data[],MATCH($A286,Data[Dist],0),MATCH(E$4,Data[#Headers],0))</f>
        <v>9870</v>
      </c>
      <c r="F286" s="22">
        <f>INDEX(Data[],MATCH($A286,Data[Dist],0),MATCH(F$4,Data[#Headers],0))</f>
        <v>8654</v>
      </c>
      <c r="G286" s="22">
        <f>INDEX(Data[],MATCH($A286,Data[Dist],0),MATCH(G$4,Data[#Headers],0))</f>
        <v>51949</v>
      </c>
      <c r="H286" s="22">
        <f>INDEX(Data[],MATCH($A286,Data[Dist],0),MATCH(H$4,Data[#Headers],0))</f>
        <v>782702</v>
      </c>
      <c r="I286" s="22">
        <f>INDEX(Data[],MATCH($A286,Data[Dist],0),MATCH(I$4,Data[#Headers],0))</f>
        <v>972220</v>
      </c>
      <c r="J286" s="23"/>
    </row>
    <row r="287" spans="1:10" x14ac:dyDescent="0.2">
      <c r="A287" s="20" t="str">
        <f>Data!B283</f>
        <v>6264</v>
      </c>
      <c r="B287" s="21" t="str">
        <f>INDEX(Data[],MATCH($A287,Data[Dist],0),MATCH(B$4,Data[#Headers],0))</f>
        <v>West Central Valley</v>
      </c>
      <c r="C287" s="22">
        <f>INDEX(Data[],MATCH($A287,Data[Dist],0),MATCH(C$4,Data[#Headers],0))</f>
        <v>180976</v>
      </c>
      <c r="D287" s="22">
        <f>INDEX(Data[],MATCH($A287,Data[Dist],0),MATCH(D$4,Data[#Headers],0))</f>
        <v>542668</v>
      </c>
      <c r="E287" s="22">
        <f>INDEX(Data[],MATCH($A287,Data[Dist],0),MATCH(E$4,Data[#Headers],0))</f>
        <v>58686</v>
      </c>
      <c r="F287" s="22">
        <f>INDEX(Data[],MATCH($A287,Data[Dist],0),MATCH(F$4,Data[#Headers],0))</f>
        <v>53102</v>
      </c>
      <c r="G287" s="22">
        <f>INDEX(Data[],MATCH($A287,Data[Dist],0),MATCH(G$4,Data[#Headers],0))</f>
        <v>297899</v>
      </c>
      <c r="H287" s="22">
        <f>INDEX(Data[],MATCH($A287,Data[Dist],0),MATCH(H$4,Data[#Headers],0))</f>
        <v>3950265</v>
      </c>
      <c r="I287" s="22">
        <f>INDEX(Data[],MATCH($A287,Data[Dist],0),MATCH(I$4,Data[#Headers],0))</f>
        <v>5083596</v>
      </c>
      <c r="J287" s="23"/>
    </row>
    <row r="288" spans="1:10" x14ac:dyDescent="0.2">
      <c r="A288" s="20" t="str">
        <f>Data!B284</f>
        <v>6273</v>
      </c>
      <c r="B288" s="21" t="str">
        <f>INDEX(Data[],MATCH($A288,Data[Dist],0),MATCH(B$4,Data[#Headers],0))</f>
        <v>Sumner-Fredericksburg</v>
      </c>
      <c r="C288" s="22">
        <f>INDEX(Data[],MATCH($A288,Data[Dist],0),MATCH(C$4,Data[#Headers],0))</f>
        <v>137408</v>
      </c>
      <c r="D288" s="22">
        <f>INDEX(Data[],MATCH($A288,Data[Dist],0),MATCH(D$4,Data[#Headers],0))</f>
        <v>486080</v>
      </c>
      <c r="E288" s="22">
        <f>INDEX(Data[],MATCH($A288,Data[Dist],0),MATCH(E$4,Data[#Headers],0))</f>
        <v>49259</v>
      </c>
      <c r="F288" s="22">
        <f>INDEX(Data[],MATCH($A288,Data[Dist],0),MATCH(F$4,Data[#Headers],0))</f>
        <v>53448</v>
      </c>
      <c r="G288" s="22">
        <f>INDEX(Data[],MATCH($A288,Data[Dist],0),MATCH(G$4,Data[#Headers],0))</f>
        <v>265534</v>
      </c>
      <c r="H288" s="22">
        <f>INDEX(Data[],MATCH($A288,Data[Dist],0),MATCH(H$4,Data[#Headers],0))</f>
        <v>3600109</v>
      </c>
      <c r="I288" s="22">
        <f>INDEX(Data[],MATCH($A288,Data[Dist],0),MATCH(I$4,Data[#Headers],0))</f>
        <v>4591838</v>
      </c>
      <c r="J288" s="23"/>
    </row>
    <row r="289" spans="1:10" x14ac:dyDescent="0.2">
      <c r="A289" s="20" t="str">
        <f>Data!B285</f>
        <v>6408</v>
      </c>
      <c r="B289" s="21" t="str">
        <f>INDEX(Data[],MATCH($A289,Data[Dist],0),MATCH(B$4,Data[#Headers],0))</f>
        <v>Tipton</v>
      </c>
      <c r="C289" s="22">
        <f>INDEX(Data[],MATCH($A289,Data[Dist],0),MATCH(C$4,Data[#Headers],0))</f>
        <v>160868</v>
      </c>
      <c r="D289" s="22">
        <f>INDEX(Data[],MATCH($A289,Data[Dist],0),MATCH(D$4,Data[#Headers],0))</f>
        <v>507038</v>
      </c>
      <c r="E289" s="22">
        <f>INDEX(Data[],MATCH($A289,Data[Dist],0),MATCH(E$4,Data[#Headers],0))</f>
        <v>59386</v>
      </c>
      <c r="F289" s="22">
        <f>INDEX(Data[],MATCH($A289,Data[Dist],0),MATCH(F$4,Data[#Headers],0))</f>
        <v>53901</v>
      </c>
      <c r="G289" s="22">
        <f>INDEX(Data[],MATCH($A289,Data[Dist],0),MATCH(G$4,Data[#Headers],0))</f>
        <v>290652</v>
      </c>
      <c r="H289" s="22">
        <f>INDEX(Data[],MATCH($A289,Data[Dist],0),MATCH(H$4,Data[#Headers],0))</f>
        <v>4038312</v>
      </c>
      <c r="I289" s="22">
        <f>INDEX(Data[],MATCH($A289,Data[Dist],0),MATCH(I$4,Data[#Headers],0))</f>
        <v>5110157</v>
      </c>
      <c r="J289" s="23"/>
    </row>
    <row r="290" spans="1:10" x14ac:dyDescent="0.2">
      <c r="A290" s="20" t="str">
        <f>Data!B286</f>
        <v>6453</v>
      </c>
      <c r="B290" s="21" t="str">
        <f>INDEX(Data[],MATCH($A290,Data[Dist],0),MATCH(B$4,Data[#Headers],0))</f>
        <v>Treynor</v>
      </c>
      <c r="C290" s="22">
        <f>INDEX(Data[],MATCH($A290,Data[Dist],0),MATCH(C$4,Data[#Headers],0))</f>
        <v>0</v>
      </c>
      <c r="D290" s="22">
        <f>INDEX(Data[],MATCH($A290,Data[Dist],0),MATCH(D$4,Data[#Headers],0))</f>
        <v>357188</v>
      </c>
      <c r="E290" s="22">
        <f>INDEX(Data[],MATCH($A290,Data[Dist],0),MATCH(E$4,Data[#Headers],0))</f>
        <v>39235</v>
      </c>
      <c r="F290" s="22">
        <f>INDEX(Data[],MATCH($A290,Data[Dist],0),MATCH(F$4,Data[#Headers],0))</f>
        <v>37508</v>
      </c>
      <c r="G290" s="22">
        <f>INDEX(Data[],MATCH($A290,Data[Dist],0),MATCH(G$4,Data[#Headers],0))</f>
        <v>198610</v>
      </c>
      <c r="H290" s="22">
        <f>INDEX(Data[],MATCH($A290,Data[Dist],0),MATCH(H$4,Data[#Headers],0))</f>
        <v>2472720</v>
      </c>
      <c r="I290" s="22">
        <f>INDEX(Data[],MATCH($A290,Data[Dist],0),MATCH(I$4,Data[#Headers],0))</f>
        <v>3105261</v>
      </c>
      <c r="J290" s="23"/>
    </row>
    <row r="291" spans="1:10" x14ac:dyDescent="0.2">
      <c r="A291" s="20" t="str">
        <f>Data!B287</f>
        <v>6460</v>
      </c>
      <c r="B291" s="21" t="str">
        <f>INDEX(Data[],MATCH($A291,Data[Dist],0),MATCH(B$4,Data[#Headers],0))</f>
        <v>Tri-Center</v>
      </c>
      <c r="C291" s="22">
        <f>INDEX(Data[],MATCH($A291,Data[Dist],0),MATCH(C$4,Data[#Headers],0))</f>
        <v>107245</v>
      </c>
      <c r="D291" s="22">
        <f>INDEX(Data[],MATCH($A291,Data[Dist],0),MATCH(D$4,Data[#Headers],0))</f>
        <v>376971</v>
      </c>
      <c r="E291" s="22">
        <f>INDEX(Data[],MATCH($A291,Data[Dist],0),MATCH(E$4,Data[#Headers],0))</f>
        <v>41203</v>
      </c>
      <c r="F291" s="22">
        <f>INDEX(Data[],MATCH($A291,Data[Dist],0),MATCH(F$4,Data[#Headers],0))</f>
        <v>42215</v>
      </c>
      <c r="G291" s="22">
        <f>INDEX(Data[],MATCH($A291,Data[Dist],0),MATCH(G$4,Data[#Headers],0))</f>
        <v>210625</v>
      </c>
      <c r="H291" s="22">
        <f>INDEX(Data[],MATCH($A291,Data[Dist],0),MATCH(H$4,Data[#Headers],0))</f>
        <v>2905289</v>
      </c>
      <c r="I291" s="22">
        <f>INDEX(Data[],MATCH($A291,Data[Dist],0),MATCH(I$4,Data[#Headers],0))</f>
        <v>3683548</v>
      </c>
      <c r="J291" s="23"/>
    </row>
    <row r="292" spans="1:10" x14ac:dyDescent="0.2">
      <c r="A292" s="20" t="str">
        <f>Data!B288</f>
        <v>6462</v>
      </c>
      <c r="B292" s="21" t="str">
        <f>INDEX(Data[],MATCH($A292,Data[Dist],0),MATCH(B$4,Data[#Headers],0))</f>
        <v>Tri-County</v>
      </c>
      <c r="C292" s="22">
        <f>INDEX(Data[],MATCH($A292,Data[Dist],0),MATCH(C$4,Data[#Headers],0))</f>
        <v>20108</v>
      </c>
      <c r="D292" s="22">
        <f>INDEX(Data[],MATCH($A292,Data[Dist],0),MATCH(D$4,Data[#Headers],0))</f>
        <v>188376</v>
      </c>
      <c r="E292" s="22">
        <f>INDEX(Data[],MATCH($A292,Data[Dist],0),MATCH(E$4,Data[#Headers],0))</f>
        <v>22077</v>
      </c>
      <c r="F292" s="22">
        <f>INDEX(Data[],MATCH($A292,Data[Dist],0),MATCH(F$4,Data[#Headers],0))</f>
        <v>17204</v>
      </c>
      <c r="G292" s="22">
        <f>INDEX(Data[],MATCH($A292,Data[Dist],0),MATCH(G$4,Data[#Headers],0))</f>
        <v>91485</v>
      </c>
      <c r="H292" s="22">
        <f>INDEX(Data[],MATCH($A292,Data[Dist],0),MATCH(H$4,Data[#Headers],0))</f>
        <v>1301247</v>
      </c>
      <c r="I292" s="22">
        <f>INDEX(Data[],MATCH($A292,Data[Dist],0),MATCH(I$4,Data[#Headers],0))</f>
        <v>1640497</v>
      </c>
      <c r="J292" s="23"/>
    </row>
    <row r="293" spans="1:10" x14ac:dyDescent="0.2">
      <c r="A293" s="20" t="str">
        <f>Data!B289</f>
        <v>6471</v>
      </c>
      <c r="B293" s="21" t="str">
        <f>INDEX(Data[],MATCH($A293,Data[Dist],0),MATCH(B$4,Data[#Headers],0))</f>
        <v>Tripoli</v>
      </c>
      <c r="C293" s="22">
        <f>INDEX(Data[],MATCH($A293,Data[Dist],0),MATCH(C$4,Data[#Headers],0))</f>
        <v>73731</v>
      </c>
      <c r="D293" s="22">
        <f>INDEX(Data[],MATCH($A293,Data[Dist],0),MATCH(D$4,Data[#Headers],0))</f>
        <v>273982</v>
      </c>
      <c r="E293" s="22">
        <f>INDEX(Data[],MATCH($A293,Data[Dist],0),MATCH(E$4,Data[#Headers],0))</f>
        <v>29082</v>
      </c>
      <c r="F293" s="22">
        <f>INDEX(Data[],MATCH($A293,Data[Dist],0),MATCH(F$4,Data[#Headers],0))</f>
        <v>28226</v>
      </c>
      <c r="G293" s="22">
        <f>INDEX(Data[],MATCH($A293,Data[Dist],0),MATCH(G$4,Data[#Headers],0))</f>
        <v>141269</v>
      </c>
      <c r="H293" s="22">
        <f>INDEX(Data[],MATCH($A293,Data[Dist],0),MATCH(H$4,Data[#Headers],0))</f>
        <v>2147599</v>
      </c>
      <c r="I293" s="22">
        <f>INDEX(Data[],MATCH($A293,Data[Dist],0),MATCH(I$4,Data[#Headers],0))</f>
        <v>2693889</v>
      </c>
      <c r="J293" s="23"/>
    </row>
    <row r="294" spans="1:10" x14ac:dyDescent="0.2">
      <c r="A294" s="20" t="str">
        <f>Data!B290</f>
        <v>6509</v>
      </c>
      <c r="B294" s="21" t="str">
        <f>INDEX(Data[],MATCH($A294,Data[Dist],0),MATCH(B$4,Data[#Headers],0))</f>
        <v>Turkey Valley</v>
      </c>
      <c r="C294" s="22">
        <f>INDEX(Data[],MATCH($A294,Data[Dist],0),MATCH(C$4,Data[#Headers],0))</f>
        <v>73731</v>
      </c>
      <c r="D294" s="22">
        <f>INDEX(Data[],MATCH($A294,Data[Dist],0),MATCH(D$4,Data[#Headers],0))</f>
        <v>226134</v>
      </c>
      <c r="E294" s="22">
        <f>INDEX(Data[],MATCH($A294,Data[Dist],0),MATCH(E$4,Data[#Headers],0))</f>
        <v>18612</v>
      </c>
      <c r="F294" s="22">
        <f>INDEX(Data[],MATCH($A294,Data[Dist],0),MATCH(F$4,Data[#Headers],0))</f>
        <v>25920</v>
      </c>
      <c r="G294" s="22">
        <f>INDEX(Data[],MATCH($A294,Data[Dist],0),MATCH(G$4,Data[#Headers],0))</f>
        <v>117769</v>
      </c>
      <c r="H294" s="22">
        <f>INDEX(Data[],MATCH($A294,Data[Dist],0),MATCH(H$4,Data[#Headers],0))</f>
        <v>1416904</v>
      </c>
      <c r="I294" s="22">
        <f>INDEX(Data[],MATCH($A294,Data[Dist],0),MATCH(I$4,Data[#Headers],0))</f>
        <v>1879070</v>
      </c>
      <c r="J294" s="23"/>
    </row>
    <row r="295" spans="1:10" x14ac:dyDescent="0.2">
      <c r="A295" s="20" t="str">
        <f>Data!B291</f>
        <v>6512</v>
      </c>
      <c r="B295" s="21" t="str">
        <f>INDEX(Data[],MATCH($A295,Data[Dist],0),MATCH(B$4,Data[#Headers],0))</f>
        <v>Twin Cedars</v>
      </c>
      <c r="C295" s="22">
        <f>INDEX(Data[],MATCH($A295,Data[Dist],0),MATCH(C$4,Data[#Headers],0))</f>
        <v>50271</v>
      </c>
      <c r="D295" s="22">
        <f>INDEX(Data[],MATCH($A295,Data[Dist],0),MATCH(D$4,Data[#Headers],0))</f>
        <v>219552</v>
      </c>
      <c r="E295" s="22">
        <f>INDEX(Data[],MATCH($A295,Data[Dist],0),MATCH(E$4,Data[#Headers],0))</f>
        <v>26737</v>
      </c>
      <c r="F295" s="22">
        <f>INDEX(Data[],MATCH($A295,Data[Dist],0),MATCH(F$4,Data[#Headers],0))</f>
        <v>22893</v>
      </c>
      <c r="G295" s="22">
        <f>INDEX(Data[],MATCH($A295,Data[Dist],0),MATCH(G$4,Data[#Headers],0))</f>
        <v>112660</v>
      </c>
      <c r="H295" s="22">
        <f>INDEX(Data[],MATCH($A295,Data[Dist],0),MATCH(H$4,Data[#Headers],0))</f>
        <v>1763469</v>
      </c>
      <c r="I295" s="22">
        <f>INDEX(Data[],MATCH($A295,Data[Dist],0),MATCH(I$4,Data[#Headers],0))</f>
        <v>2195582</v>
      </c>
      <c r="J295" s="23"/>
    </row>
    <row r="296" spans="1:10" x14ac:dyDescent="0.2">
      <c r="A296" s="20" t="str">
        <f>Data!B292</f>
        <v>6516</v>
      </c>
      <c r="B296" s="21" t="str">
        <f>INDEX(Data[],MATCH($A296,Data[Dist],0),MATCH(B$4,Data[#Headers],0))</f>
        <v>Twin Rivers</v>
      </c>
      <c r="C296" s="22">
        <f>INDEX(Data[],MATCH($A296,Data[Dist],0),MATCH(C$4,Data[#Headers],0))</f>
        <v>20108</v>
      </c>
      <c r="D296" s="22">
        <f>INDEX(Data[],MATCH($A296,Data[Dist],0),MATCH(D$4,Data[#Headers],0))</f>
        <v>105481</v>
      </c>
      <c r="E296" s="22">
        <f>INDEX(Data[],MATCH($A296,Data[Dist],0),MATCH(E$4,Data[#Headers],0))</f>
        <v>10195</v>
      </c>
      <c r="F296" s="22">
        <f>INDEX(Data[],MATCH($A296,Data[Dist],0),MATCH(F$4,Data[#Headers],0))</f>
        <v>10326</v>
      </c>
      <c r="G296" s="22">
        <f>INDEX(Data[],MATCH($A296,Data[Dist],0),MATCH(G$4,Data[#Headers],0))</f>
        <v>52370</v>
      </c>
      <c r="H296" s="22">
        <f>INDEX(Data[],MATCH($A296,Data[Dist],0),MATCH(H$4,Data[#Headers],0))</f>
        <v>358735</v>
      </c>
      <c r="I296" s="22">
        <f>INDEX(Data[],MATCH($A296,Data[Dist],0),MATCH(I$4,Data[#Headers],0))</f>
        <v>557215</v>
      </c>
      <c r="J296" s="23"/>
    </row>
    <row r="297" spans="1:10" x14ac:dyDescent="0.2">
      <c r="A297" s="20" t="str">
        <f>Data!B293</f>
        <v>6534</v>
      </c>
      <c r="B297" s="21" t="str">
        <f>INDEX(Data[],MATCH($A297,Data[Dist],0),MATCH(B$4,Data[#Headers],0))</f>
        <v>Underwood</v>
      </c>
      <c r="C297" s="22">
        <f>INDEX(Data[],MATCH($A297,Data[Dist],0),MATCH(C$4,Data[#Headers],0))</f>
        <v>134057</v>
      </c>
      <c r="D297" s="22">
        <f>INDEX(Data[],MATCH($A297,Data[Dist],0),MATCH(D$4,Data[#Headers],0))</f>
        <v>387317</v>
      </c>
      <c r="E297" s="22">
        <f>INDEX(Data[],MATCH($A297,Data[Dist],0),MATCH(E$4,Data[#Headers],0))</f>
        <v>44072</v>
      </c>
      <c r="F297" s="22">
        <f>INDEX(Data[],MATCH($A297,Data[Dist],0),MATCH(F$4,Data[#Headers],0))</f>
        <v>39915</v>
      </c>
      <c r="G297" s="22">
        <f>INDEX(Data[],MATCH($A297,Data[Dist],0),MATCH(G$4,Data[#Headers],0))</f>
        <v>228877</v>
      </c>
      <c r="H297" s="22">
        <f>INDEX(Data[],MATCH($A297,Data[Dist],0),MATCH(H$4,Data[#Headers],0))</f>
        <v>3081668</v>
      </c>
      <c r="I297" s="22">
        <f>INDEX(Data[],MATCH($A297,Data[Dist],0),MATCH(I$4,Data[#Headers],0))</f>
        <v>3915906</v>
      </c>
      <c r="J297" s="23"/>
    </row>
    <row r="298" spans="1:10" x14ac:dyDescent="0.2">
      <c r="A298" s="20" t="str">
        <f>Data!B294</f>
        <v>6561</v>
      </c>
      <c r="B298" s="21" t="str">
        <f>INDEX(Data[],MATCH($A298,Data[Dist],0),MATCH(B$4,Data[#Headers],0))</f>
        <v>United</v>
      </c>
      <c r="C298" s="22">
        <f>INDEX(Data[],MATCH($A298,Data[Dist],0),MATCH(C$4,Data[#Headers],0))</f>
        <v>174274</v>
      </c>
      <c r="D298" s="22">
        <f>INDEX(Data[],MATCH($A298,Data[Dist],0),MATCH(D$4,Data[#Headers],0))</f>
        <v>187777</v>
      </c>
      <c r="E298" s="22">
        <f>INDEX(Data[],MATCH($A298,Data[Dist],0),MATCH(E$4,Data[#Headers],0))</f>
        <v>25397</v>
      </c>
      <c r="F298" s="22">
        <f>INDEX(Data[],MATCH($A298,Data[Dist],0),MATCH(F$4,Data[#Headers],0))</f>
        <v>16107</v>
      </c>
      <c r="G298" s="22">
        <f>INDEX(Data[],MATCH($A298,Data[Dist],0),MATCH(G$4,Data[#Headers],0))</f>
        <v>121817</v>
      </c>
      <c r="H298" s="22">
        <f>INDEX(Data[],MATCH($A298,Data[Dist],0),MATCH(H$4,Data[#Headers],0))</f>
        <v>968931</v>
      </c>
      <c r="I298" s="22">
        <f>INDEX(Data[],MATCH($A298,Data[Dist],0),MATCH(I$4,Data[#Headers],0))</f>
        <v>1494303</v>
      </c>
      <c r="J298" s="23"/>
    </row>
    <row r="299" spans="1:10" x14ac:dyDescent="0.2">
      <c r="A299" s="20" t="str">
        <f>Data!B295</f>
        <v>6579</v>
      </c>
      <c r="B299" s="21" t="str">
        <f>INDEX(Data[],MATCH($A299,Data[Dist],0),MATCH(B$4,Data[#Headers],0))</f>
        <v>Urbandale</v>
      </c>
      <c r="C299" s="22">
        <f>INDEX(Data[],MATCH($A299,Data[Dist],0),MATCH(C$4,Data[#Headers],0))</f>
        <v>663580</v>
      </c>
      <c r="D299" s="22">
        <f>INDEX(Data[],MATCH($A299,Data[Dist],0),MATCH(D$4,Data[#Headers],0))</f>
        <v>2002325</v>
      </c>
      <c r="E299" s="22">
        <f>INDEX(Data[],MATCH($A299,Data[Dist],0),MATCH(E$4,Data[#Headers],0))</f>
        <v>227098</v>
      </c>
      <c r="F299" s="22">
        <f>INDEX(Data[],MATCH($A299,Data[Dist],0),MATCH(F$4,Data[#Headers],0))</f>
        <v>236159</v>
      </c>
      <c r="G299" s="22">
        <f>INDEX(Data[],MATCH($A299,Data[Dist],0),MATCH(G$4,Data[#Headers],0))</f>
        <v>1112157</v>
      </c>
      <c r="H299" s="22">
        <f>INDEX(Data[],MATCH($A299,Data[Dist],0),MATCH(H$4,Data[#Headers],0))</f>
        <v>15224330</v>
      </c>
      <c r="I299" s="22">
        <f>INDEX(Data[],MATCH($A299,Data[Dist],0),MATCH(I$4,Data[#Headers],0))</f>
        <v>19465649</v>
      </c>
      <c r="J299" s="23"/>
    </row>
    <row r="300" spans="1:10" x14ac:dyDescent="0.2">
      <c r="A300" s="20" t="str">
        <f>Data!B296</f>
        <v>6592</v>
      </c>
      <c r="B300" s="21" t="str">
        <f>INDEX(Data[],MATCH($A300,Data[Dist],0),MATCH(B$4,Data[#Headers],0))</f>
        <v>Van Buren</v>
      </c>
      <c r="C300" s="22">
        <f>INDEX(Data[],MATCH($A300,Data[Dist],0),MATCH(C$4,Data[#Headers],0))</f>
        <v>144111</v>
      </c>
      <c r="D300" s="22">
        <f>INDEX(Data[],MATCH($A300,Data[Dist],0),MATCH(D$4,Data[#Headers],0))</f>
        <v>372810</v>
      </c>
      <c r="E300" s="22">
        <f>INDEX(Data[],MATCH($A300,Data[Dist],0),MATCH(E$4,Data[#Headers],0))</f>
        <v>44689</v>
      </c>
      <c r="F300" s="22">
        <f>INDEX(Data[],MATCH($A300,Data[Dist],0),MATCH(F$4,Data[#Headers],0))</f>
        <v>37122</v>
      </c>
      <c r="G300" s="22">
        <f>INDEX(Data[],MATCH($A300,Data[Dist],0),MATCH(G$4,Data[#Headers],0))</f>
        <v>208144</v>
      </c>
      <c r="H300" s="22">
        <f>INDEX(Data[],MATCH($A300,Data[Dist],0),MATCH(H$4,Data[#Headers],0))</f>
        <v>3210225</v>
      </c>
      <c r="I300" s="22">
        <f>INDEX(Data[],MATCH($A300,Data[Dist],0),MATCH(I$4,Data[#Headers],0))</f>
        <v>4017101</v>
      </c>
      <c r="J300" s="23"/>
    </row>
    <row r="301" spans="1:10" x14ac:dyDescent="0.2">
      <c r="A301" s="20" t="str">
        <f>Data!B297</f>
        <v>6615</v>
      </c>
      <c r="B301" s="21" t="str">
        <f>INDEX(Data[],MATCH($A301,Data[Dist],0),MATCH(B$4,Data[#Headers],0))</f>
        <v>Van Meter</v>
      </c>
      <c r="C301" s="22">
        <f>INDEX(Data[],MATCH($A301,Data[Dist],0),MATCH(C$4,Data[#Headers],0))</f>
        <v>0</v>
      </c>
      <c r="D301" s="22">
        <f>INDEX(Data[],MATCH($A301,Data[Dist],0),MATCH(D$4,Data[#Headers],0))</f>
        <v>414072</v>
      </c>
      <c r="E301" s="22">
        <f>INDEX(Data[],MATCH($A301,Data[Dist],0),MATCH(E$4,Data[#Headers],0))</f>
        <v>44923</v>
      </c>
      <c r="F301" s="22">
        <f>INDEX(Data[],MATCH($A301,Data[Dist],0),MATCH(F$4,Data[#Headers],0))</f>
        <v>42729</v>
      </c>
      <c r="G301" s="22">
        <f>INDEX(Data[],MATCH($A301,Data[Dist],0),MATCH(G$4,Data[#Headers],0))</f>
        <v>226036</v>
      </c>
      <c r="H301" s="22">
        <f>INDEX(Data[],MATCH($A301,Data[Dist],0),MATCH(H$4,Data[#Headers],0))</f>
        <v>3118860</v>
      </c>
      <c r="I301" s="22">
        <f>INDEX(Data[],MATCH($A301,Data[Dist],0),MATCH(I$4,Data[#Headers],0))</f>
        <v>3846620</v>
      </c>
      <c r="J301" s="23"/>
    </row>
    <row r="302" spans="1:10" x14ac:dyDescent="0.2">
      <c r="A302" s="20" t="str">
        <f>Data!B298</f>
        <v>6651</v>
      </c>
      <c r="B302" s="21" t="str">
        <f>INDEX(Data[],MATCH($A302,Data[Dist],0),MATCH(B$4,Data[#Headers],0))</f>
        <v>Villisca</v>
      </c>
      <c r="C302" s="22">
        <f>INDEX(Data[],MATCH($A302,Data[Dist],0),MATCH(C$4,Data[#Headers],0))</f>
        <v>40217</v>
      </c>
      <c r="D302" s="22">
        <f>INDEX(Data[],MATCH($A302,Data[Dist],0),MATCH(D$4,Data[#Headers],0))</f>
        <v>178801</v>
      </c>
      <c r="E302" s="22">
        <f>INDEX(Data[],MATCH($A302,Data[Dist],0),MATCH(E$4,Data[#Headers],0))</f>
        <v>21891</v>
      </c>
      <c r="F302" s="22">
        <f>INDEX(Data[],MATCH($A302,Data[Dist],0),MATCH(F$4,Data[#Headers],0))</f>
        <v>19213</v>
      </c>
      <c r="G302" s="22">
        <f>INDEX(Data[],MATCH($A302,Data[Dist],0),MATCH(G$4,Data[#Headers],0))</f>
        <v>98274</v>
      </c>
      <c r="H302" s="22">
        <f>INDEX(Data[],MATCH($A302,Data[Dist],0),MATCH(H$4,Data[#Headers],0))</f>
        <v>1264292</v>
      </c>
      <c r="I302" s="22">
        <f>INDEX(Data[],MATCH($A302,Data[Dist],0),MATCH(I$4,Data[#Headers],0))</f>
        <v>1622688</v>
      </c>
      <c r="J302" s="23"/>
    </row>
    <row r="303" spans="1:10" x14ac:dyDescent="0.2">
      <c r="A303" s="20" t="str">
        <f>Data!B299</f>
        <v>6660</v>
      </c>
      <c r="B303" s="21" t="str">
        <f>INDEX(Data[],MATCH($A303,Data[Dist],0),MATCH(B$4,Data[#Headers],0))</f>
        <v>Vinton-Shellsburg</v>
      </c>
      <c r="C303" s="22">
        <f>INDEX(Data[],MATCH($A303,Data[Dist],0),MATCH(C$4,Data[#Headers],0))</f>
        <v>194382</v>
      </c>
      <c r="D303" s="22">
        <f>INDEX(Data[],MATCH($A303,Data[Dist],0),MATCH(D$4,Data[#Headers],0))</f>
        <v>929148</v>
      </c>
      <c r="E303" s="22">
        <f>INDEX(Data[],MATCH($A303,Data[Dist],0),MATCH(E$4,Data[#Headers],0))</f>
        <v>100978</v>
      </c>
      <c r="F303" s="22">
        <f>INDEX(Data[],MATCH($A303,Data[Dist],0),MATCH(F$4,Data[#Headers],0))</f>
        <v>104529</v>
      </c>
      <c r="G303" s="22">
        <f>INDEX(Data[],MATCH($A303,Data[Dist],0),MATCH(G$4,Data[#Headers],0))</f>
        <v>504116</v>
      </c>
      <c r="H303" s="22">
        <f>INDEX(Data[],MATCH($A303,Data[Dist],0),MATCH(H$4,Data[#Headers],0))</f>
        <v>7571408</v>
      </c>
      <c r="I303" s="22">
        <f>INDEX(Data[],MATCH($A303,Data[Dist],0),MATCH(I$4,Data[#Headers],0))</f>
        <v>9404561</v>
      </c>
      <c r="J303" s="23"/>
    </row>
    <row r="304" spans="1:10" x14ac:dyDescent="0.2">
      <c r="A304" s="20" t="str">
        <f>Data!B300</f>
        <v>6700</v>
      </c>
      <c r="B304" s="21" t="str">
        <f>INDEX(Data[],MATCH($A304,Data[Dist],0),MATCH(B$4,Data[#Headers],0))</f>
        <v>Waco</v>
      </c>
      <c r="C304" s="22">
        <f>INDEX(Data[],MATCH($A304,Data[Dist],0),MATCH(C$4,Data[#Headers],0))</f>
        <v>130705</v>
      </c>
      <c r="D304" s="22">
        <f>INDEX(Data[],MATCH($A304,Data[Dist],0),MATCH(D$4,Data[#Headers],0))</f>
        <v>313332</v>
      </c>
      <c r="E304" s="22">
        <f>INDEX(Data[],MATCH($A304,Data[Dist],0),MATCH(E$4,Data[#Headers],0))</f>
        <v>33718</v>
      </c>
      <c r="F304" s="22">
        <f>INDEX(Data[],MATCH($A304,Data[Dist],0),MATCH(F$4,Data[#Headers],0))</f>
        <v>33521</v>
      </c>
      <c r="G304" s="22">
        <f>INDEX(Data[],MATCH($A304,Data[Dist],0),MATCH(G$4,Data[#Headers],0))</f>
        <v>156687</v>
      </c>
      <c r="H304" s="22">
        <f>INDEX(Data[],MATCH($A304,Data[Dist],0),MATCH(H$4,Data[#Headers],0))</f>
        <v>2455497</v>
      </c>
      <c r="I304" s="22">
        <f>INDEX(Data[],MATCH($A304,Data[Dist],0),MATCH(I$4,Data[#Headers],0))</f>
        <v>3123460</v>
      </c>
      <c r="J304" s="23"/>
    </row>
    <row r="305" spans="1:10" x14ac:dyDescent="0.2">
      <c r="A305" s="20" t="str">
        <f>Data!B301</f>
        <v>6741</v>
      </c>
      <c r="B305" s="21" t="str">
        <f>INDEX(Data[],MATCH($A305,Data[Dist],0),MATCH(B$4,Data[#Headers],0))</f>
        <v>East Sac County</v>
      </c>
      <c r="C305" s="22">
        <f>INDEX(Data[],MATCH($A305,Data[Dist],0),MATCH(C$4,Data[#Headers],0))</f>
        <v>191031</v>
      </c>
      <c r="D305" s="22">
        <f>INDEX(Data[],MATCH($A305,Data[Dist],0),MATCH(D$4,Data[#Headers],0))</f>
        <v>533835</v>
      </c>
      <c r="E305" s="22">
        <f>INDEX(Data[],MATCH($A305,Data[Dist],0),MATCH(E$4,Data[#Headers],0))</f>
        <v>61194</v>
      </c>
      <c r="F305" s="22">
        <f>INDEX(Data[],MATCH($A305,Data[Dist],0),MATCH(F$4,Data[#Headers],0))</f>
        <v>56397</v>
      </c>
      <c r="G305" s="22">
        <f>INDEX(Data[],MATCH($A305,Data[Dist],0),MATCH(G$4,Data[#Headers],0))</f>
        <v>281439</v>
      </c>
      <c r="H305" s="22">
        <f>INDEX(Data[],MATCH($A305,Data[Dist],0),MATCH(H$4,Data[#Headers],0))</f>
        <v>3338234</v>
      </c>
      <c r="I305" s="22">
        <f>INDEX(Data[],MATCH($A305,Data[Dist],0),MATCH(I$4,Data[#Headers],0))</f>
        <v>4462130</v>
      </c>
      <c r="J305" s="23"/>
    </row>
    <row r="306" spans="1:10" x14ac:dyDescent="0.2">
      <c r="A306" s="20" t="str">
        <f>Data!B302</f>
        <v>6759</v>
      </c>
      <c r="B306" s="21" t="str">
        <f>INDEX(Data[],MATCH($A306,Data[Dist],0),MATCH(B$4,Data[#Headers],0))</f>
        <v>Wapello</v>
      </c>
      <c r="C306" s="22">
        <f>INDEX(Data[],MATCH($A306,Data[Dist],0),MATCH(C$4,Data[#Headers],0))</f>
        <v>117300</v>
      </c>
      <c r="D306" s="22">
        <f>INDEX(Data[],MATCH($A306,Data[Dist],0),MATCH(D$4,Data[#Headers],0))</f>
        <v>393511</v>
      </c>
      <c r="E306" s="22">
        <f>INDEX(Data[],MATCH($A306,Data[Dist],0),MATCH(E$4,Data[#Headers],0))</f>
        <v>49051</v>
      </c>
      <c r="F306" s="22">
        <f>INDEX(Data[],MATCH($A306,Data[Dist],0),MATCH(F$4,Data[#Headers],0))</f>
        <v>40704</v>
      </c>
      <c r="G306" s="22">
        <f>INDEX(Data[],MATCH($A306,Data[Dist],0),MATCH(G$4,Data[#Headers],0))</f>
        <v>208832</v>
      </c>
      <c r="H306" s="22">
        <f>INDEX(Data[],MATCH($A306,Data[Dist],0),MATCH(H$4,Data[#Headers],0))</f>
        <v>3205174</v>
      </c>
      <c r="I306" s="22">
        <f>INDEX(Data[],MATCH($A306,Data[Dist],0),MATCH(I$4,Data[#Headers],0))</f>
        <v>4014572</v>
      </c>
      <c r="J306" s="23"/>
    </row>
    <row r="307" spans="1:10" x14ac:dyDescent="0.2">
      <c r="A307" s="20" t="str">
        <f>Data!B303</f>
        <v>6762</v>
      </c>
      <c r="B307" s="21" t="str">
        <f>INDEX(Data[],MATCH($A307,Data[Dist],0),MATCH(B$4,Data[#Headers],0))</f>
        <v>Wapsie Valley</v>
      </c>
      <c r="C307" s="22">
        <f>INDEX(Data[],MATCH($A307,Data[Dist],0),MATCH(C$4,Data[#Headers],0))</f>
        <v>113948</v>
      </c>
      <c r="D307" s="22">
        <f>INDEX(Data[],MATCH($A307,Data[Dist],0),MATCH(D$4,Data[#Headers],0))</f>
        <v>428975</v>
      </c>
      <c r="E307" s="22">
        <f>INDEX(Data[],MATCH($A307,Data[Dist],0),MATCH(E$4,Data[#Headers],0))</f>
        <v>46655</v>
      </c>
      <c r="F307" s="22">
        <f>INDEX(Data[],MATCH($A307,Data[Dist],0),MATCH(F$4,Data[#Headers],0))</f>
        <v>44308</v>
      </c>
      <c r="G307" s="22">
        <f>INDEX(Data[],MATCH($A307,Data[Dist],0),MATCH(G$4,Data[#Headers],0))</f>
        <v>222085</v>
      </c>
      <c r="H307" s="22">
        <f>INDEX(Data[],MATCH($A307,Data[Dist],0),MATCH(H$4,Data[#Headers],0))</f>
        <v>3348206</v>
      </c>
      <c r="I307" s="22">
        <f>INDEX(Data[],MATCH($A307,Data[Dist],0),MATCH(I$4,Data[#Headers],0))</f>
        <v>4204177</v>
      </c>
      <c r="J307" s="23"/>
    </row>
    <row r="308" spans="1:10" x14ac:dyDescent="0.2">
      <c r="A308" s="20" t="str">
        <f>Data!B304</f>
        <v>6768</v>
      </c>
      <c r="B308" s="21" t="str">
        <f>INDEX(Data[],MATCH($A308,Data[Dist],0),MATCH(B$4,Data[#Headers],0))</f>
        <v>Washington</v>
      </c>
      <c r="C308" s="22">
        <f>INDEX(Data[],MATCH($A308,Data[Dist],0),MATCH(C$4,Data[#Headers],0))</f>
        <v>348547</v>
      </c>
      <c r="D308" s="22">
        <f>INDEX(Data[],MATCH($A308,Data[Dist],0),MATCH(D$4,Data[#Headers],0))</f>
        <v>1035388</v>
      </c>
      <c r="E308" s="22">
        <f>INDEX(Data[],MATCH($A308,Data[Dist],0),MATCH(E$4,Data[#Headers],0))</f>
        <v>127436</v>
      </c>
      <c r="F308" s="22">
        <f>INDEX(Data[],MATCH($A308,Data[Dist],0),MATCH(F$4,Data[#Headers],0))</f>
        <v>114705</v>
      </c>
      <c r="G308" s="22">
        <f>INDEX(Data[],MATCH($A308,Data[Dist],0),MATCH(G$4,Data[#Headers],0))</f>
        <v>580550</v>
      </c>
      <c r="H308" s="22">
        <f>INDEX(Data[],MATCH($A308,Data[Dist],0),MATCH(H$4,Data[#Headers],0))</f>
        <v>9702081</v>
      </c>
      <c r="I308" s="22">
        <f>INDEX(Data[],MATCH($A308,Data[Dist],0),MATCH(I$4,Data[#Headers],0))</f>
        <v>11908707</v>
      </c>
      <c r="J308" s="23"/>
    </row>
    <row r="309" spans="1:10" x14ac:dyDescent="0.2">
      <c r="A309" s="20" t="str">
        <f>Data!B305</f>
        <v>6795</v>
      </c>
      <c r="B309" s="21" t="str">
        <f>INDEX(Data[],MATCH($A309,Data[Dist],0),MATCH(B$4,Data[#Headers],0))</f>
        <v>Waterloo</v>
      </c>
      <c r="C309" s="22">
        <f>INDEX(Data[],MATCH($A309,Data[Dist],0),MATCH(C$4,Data[#Headers],0))</f>
        <v>1933766</v>
      </c>
      <c r="D309" s="22">
        <f>INDEX(Data[],MATCH($A309,Data[Dist],0),MATCH(D$4,Data[#Headers],0))</f>
        <v>6202548</v>
      </c>
      <c r="E309" s="22">
        <f>INDEX(Data[],MATCH($A309,Data[Dist],0),MATCH(E$4,Data[#Headers],0))</f>
        <v>862906</v>
      </c>
      <c r="F309" s="22">
        <f>INDEX(Data[],MATCH($A309,Data[Dist],0),MATCH(F$4,Data[#Headers],0))</f>
        <v>675573</v>
      </c>
      <c r="G309" s="22">
        <f>INDEX(Data[],MATCH($A309,Data[Dist],0),MATCH(G$4,Data[#Headers],0))</f>
        <v>3551928</v>
      </c>
      <c r="H309" s="22">
        <f>INDEX(Data[],MATCH($A309,Data[Dist],0),MATCH(H$4,Data[#Headers],0))</f>
        <v>64813016</v>
      </c>
      <c r="I309" s="22">
        <f>INDEX(Data[],MATCH($A309,Data[Dist],0),MATCH(I$4,Data[#Headers],0))</f>
        <v>78039737</v>
      </c>
      <c r="J309" s="23"/>
    </row>
    <row r="310" spans="1:10" x14ac:dyDescent="0.2">
      <c r="A310" s="20" t="str">
        <f>Data!B306</f>
        <v>6822</v>
      </c>
      <c r="B310" s="21" t="str">
        <f>INDEX(Data[],MATCH($A310,Data[Dist],0),MATCH(B$4,Data[#Headers],0))</f>
        <v>Waukee</v>
      </c>
      <c r="C310" s="22">
        <f>INDEX(Data[],MATCH($A310,Data[Dist],0),MATCH(C$4,Data[#Headers],0))</f>
        <v>0</v>
      </c>
      <c r="D310" s="22">
        <f>INDEX(Data[],MATCH($A310,Data[Dist],0),MATCH(D$4,Data[#Headers],0))</f>
        <v>5424502</v>
      </c>
      <c r="E310" s="22">
        <f>INDEX(Data[],MATCH($A310,Data[Dist],0),MATCH(E$4,Data[#Headers],0))</f>
        <v>718024</v>
      </c>
      <c r="F310" s="22">
        <f>INDEX(Data[],MATCH($A310,Data[Dist],0),MATCH(F$4,Data[#Headers],0))</f>
        <v>560724</v>
      </c>
      <c r="G310" s="22">
        <f>INDEX(Data[],MATCH($A310,Data[Dist],0),MATCH(G$4,Data[#Headers],0))</f>
        <v>3460802</v>
      </c>
      <c r="H310" s="22">
        <f>INDEX(Data[],MATCH($A310,Data[Dist],0),MATCH(H$4,Data[#Headers],0))</f>
        <v>46026269</v>
      </c>
      <c r="I310" s="22">
        <f>INDEX(Data[],MATCH($A310,Data[Dist],0),MATCH(I$4,Data[#Headers],0))</f>
        <v>56190321</v>
      </c>
      <c r="J310" s="23"/>
    </row>
    <row r="311" spans="1:10" x14ac:dyDescent="0.2">
      <c r="A311" s="20" t="str">
        <f>Data!B307</f>
        <v>6840</v>
      </c>
      <c r="B311" s="21" t="str">
        <f>INDEX(Data[],MATCH($A311,Data[Dist],0),MATCH(B$4,Data[#Headers],0))</f>
        <v>Waverly-Shell Rock</v>
      </c>
      <c r="C311" s="22">
        <f>INDEX(Data[],MATCH($A311,Data[Dist],0),MATCH(C$4,Data[#Headers],0))</f>
        <v>338493</v>
      </c>
      <c r="D311" s="22">
        <f>INDEX(Data[],MATCH($A311,Data[Dist],0),MATCH(D$4,Data[#Headers],0))</f>
        <v>1292430</v>
      </c>
      <c r="E311" s="22">
        <f>INDEX(Data[],MATCH($A311,Data[Dist],0),MATCH(E$4,Data[#Headers],0))</f>
        <v>121796</v>
      </c>
      <c r="F311" s="22">
        <f>INDEX(Data[],MATCH($A311,Data[Dist],0),MATCH(F$4,Data[#Headers],0))</f>
        <v>143506</v>
      </c>
      <c r="G311" s="22">
        <f>INDEX(Data[],MATCH($A311,Data[Dist],0),MATCH(G$4,Data[#Headers],0))</f>
        <v>678957</v>
      </c>
      <c r="H311" s="22">
        <f>INDEX(Data[],MATCH($A311,Data[Dist],0),MATCH(H$4,Data[#Headers],0))</f>
        <v>9739153</v>
      </c>
      <c r="I311" s="22">
        <f>INDEX(Data[],MATCH($A311,Data[Dist],0),MATCH(I$4,Data[#Headers],0))</f>
        <v>12314335</v>
      </c>
      <c r="J311" s="23"/>
    </row>
    <row r="312" spans="1:10" x14ac:dyDescent="0.2">
      <c r="A312" s="20" t="str">
        <f>Data!B308</f>
        <v>6854</v>
      </c>
      <c r="B312" s="21" t="str">
        <f>INDEX(Data[],MATCH($A312,Data[Dist],0),MATCH(B$4,Data[#Headers],0))</f>
        <v>Wayne</v>
      </c>
      <c r="C312" s="22">
        <f>INDEX(Data[],MATCH($A312,Data[Dist],0),MATCH(C$4,Data[#Headers],0))</f>
        <v>164219</v>
      </c>
      <c r="D312" s="22">
        <f>INDEX(Data[],MATCH($A312,Data[Dist],0),MATCH(D$4,Data[#Headers],0))</f>
        <v>392922</v>
      </c>
      <c r="E312" s="22">
        <f>INDEX(Data[],MATCH($A312,Data[Dist],0),MATCH(E$4,Data[#Headers],0))</f>
        <v>43947</v>
      </c>
      <c r="F312" s="22">
        <f>INDEX(Data[],MATCH($A312,Data[Dist],0),MATCH(F$4,Data[#Headers],0))</f>
        <v>43769</v>
      </c>
      <c r="G312" s="22">
        <f>INDEX(Data[],MATCH($A312,Data[Dist],0),MATCH(G$4,Data[#Headers],0))</f>
        <v>187933</v>
      </c>
      <c r="H312" s="22">
        <f>INDEX(Data[],MATCH($A312,Data[Dist],0),MATCH(H$4,Data[#Headers],0))</f>
        <v>2500934</v>
      </c>
      <c r="I312" s="22">
        <f>INDEX(Data[],MATCH($A312,Data[Dist],0),MATCH(I$4,Data[#Headers],0))</f>
        <v>3333724</v>
      </c>
      <c r="J312" s="23"/>
    </row>
    <row r="313" spans="1:10" x14ac:dyDescent="0.2">
      <c r="A313" s="20" t="str">
        <f>Data!B309</f>
        <v>6867</v>
      </c>
      <c r="B313" s="21" t="str">
        <f>INDEX(Data[],MATCH($A313,Data[Dist],0),MATCH(B$4,Data[#Headers],0))</f>
        <v>Webster City</v>
      </c>
      <c r="C313" s="22">
        <f>INDEX(Data[],MATCH($A313,Data[Dist],0),MATCH(C$4,Data[#Headers],0))</f>
        <v>325087</v>
      </c>
      <c r="D313" s="22">
        <f>INDEX(Data[],MATCH($A313,Data[Dist],0),MATCH(D$4,Data[#Headers],0))</f>
        <v>898310</v>
      </c>
      <c r="E313" s="22">
        <f>INDEX(Data[],MATCH($A313,Data[Dist],0),MATCH(E$4,Data[#Headers],0))</f>
        <v>112582</v>
      </c>
      <c r="F313" s="22">
        <f>INDEX(Data[],MATCH($A313,Data[Dist],0),MATCH(F$4,Data[#Headers],0))</f>
        <v>99430</v>
      </c>
      <c r="G313" s="22">
        <f>INDEX(Data[],MATCH($A313,Data[Dist],0),MATCH(G$4,Data[#Headers],0))</f>
        <v>499032</v>
      </c>
      <c r="H313" s="22">
        <f>INDEX(Data[],MATCH($A313,Data[Dist],0),MATCH(H$4,Data[#Headers],0))</f>
        <v>8729047</v>
      </c>
      <c r="I313" s="22">
        <f>INDEX(Data[],MATCH($A313,Data[Dist],0),MATCH(I$4,Data[#Headers],0))</f>
        <v>10663488</v>
      </c>
      <c r="J313" s="23"/>
    </row>
    <row r="314" spans="1:10" x14ac:dyDescent="0.2">
      <c r="A314" s="20" t="str">
        <f>Data!B310</f>
        <v>6921</v>
      </c>
      <c r="B314" s="21" t="str">
        <f>INDEX(Data[],MATCH($A314,Data[Dist],0),MATCH(B$4,Data[#Headers],0))</f>
        <v>West Bend-Mallard</v>
      </c>
      <c r="C314" s="22">
        <f>INDEX(Data[],MATCH($A314,Data[Dist],0),MATCH(C$4,Data[#Headers],0))</f>
        <v>50271</v>
      </c>
      <c r="D314" s="22">
        <f>INDEX(Data[],MATCH($A314,Data[Dist],0),MATCH(D$4,Data[#Headers],0))</f>
        <v>207528</v>
      </c>
      <c r="E314" s="22">
        <f>INDEX(Data[],MATCH($A314,Data[Dist],0),MATCH(E$4,Data[#Headers],0))</f>
        <v>19392</v>
      </c>
      <c r="F314" s="22">
        <f>INDEX(Data[],MATCH($A314,Data[Dist],0),MATCH(F$4,Data[#Headers],0))</f>
        <v>22046</v>
      </c>
      <c r="G314" s="22">
        <f>INDEX(Data[],MATCH($A314,Data[Dist],0),MATCH(G$4,Data[#Headers],0))</f>
        <v>102768</v>
      </c>
      <c r="H314" s="22">
        <f>INDEX(Data[],MATCH($A314,Data[Dist],0),MATCH(H$4,Data[#Headers],0))</f>
        <v>861657</v>
      </c>
      <c r="I314" s="22">
        <f>INDEX(Data[],MATCH($A314,Data[Dist],0),MATCH(I$4,Data[#Headers],0))</f>
        <v>1263662</v>
      </c>
      <c r="J314" s="23"/>
    </row>
    <row r="315" spans="1:10" x14ac:dyDescent="0.2">
      <c r="A315" s="20" t="str">
        <f>Data!B311</f>
        <v>6930</v>
      </c>
      <c r="B315" s="21" t="str">
        <f>INDEX(Data[],MATCH($A315,Data[Dist],0),MATCH(B$4,Data[#Headers],0))</f>
        <v>West Branch</v>
      </c>
      <c r="C315" s="22">
        <f>INDEX(Data[],MATCH($A315,Data[Dist],0),MATCH(C$4,Data[#Headers],0))</f>
        <v>150814</v>
      </c>
      <c r="D315" s="22">
        <f>INDEX(Data[],MATCH($A315,Data[Dist],0),MATCH(D$4,Data[#Headers],0))</f>
        <v>445362</v>
      </c>
      <c r="E315" s="22">
        <f>INDEX(Data[],MATCH($A315,Data[Dist],0),MATCH(E$4,Data[#Headers],0))</f>
        <v>48231</v>
      </c>
      <c r="F315" s="22">
        <f>INDEX(Data[],MATCH($A315,Data[Dist],0),MATCH(F$4,Data[#Headers],0))</f>
        <v>47240</v>
      </c>
      <c r="G315" s="22">
        <f>INDEX(Data[],MATCH($A315,Data[Dist],0),MATCH(G$4,Data[#Headers],0))</f>
        <v>252809</v>
      </c>
      <c r="H315" s="22">
        <f>INDEX(Data[],MATCH($A315,Data[Dist],0),MATCH(H$4,Data[#Headers],0))</f>
        <v>3052834</v>
      </c>
      <c r="I315" s="22">
        <f>INDEX(Data[],MATCH($A315,Data[Dist],0),MATCH(I$4,Data[#Headers],0))</f>
        <v>3997290</v>
      </c>
      <c r="J315" s="23"/>
    </row>
    <row r="316" spans="1:10" x14ac:dyDescent="0.2">
      <c r="A316" s="20" t="str">
        <f>Data!B312</f>
        <v>6937</v>
      </c>
      <c r="B316" s="21" t="str">
        <f>INDEX(Data[],MATCH($A316,Data[Dist],0),MATCH(B$4,Data[#Headers],0))</f>
        <v>West Burlington</v>
      </c>
      <c r="C316" s="22">
        <f>INDEX(Data[],MATCH($A316,Data[Dist],0),MATCH(C$4,Data[#Headers],0))</f>
        <v>117300</v>
      </c>
      <c r="D316" s="22">
        <f>INDEX(Data[],MATCH($A316,Data[Dist],0),MATCH(D$4,Data[#Headers],0))</f>
        <v>329934</v>
      </c>
      <c r="E316" s="22">
        <f>INDEX(Data[],MATCH($A316,Data[Dist],0),MATCH(E$4,Data[#Headers],0))</f>
        <v>53768</v>
      </c>
      <c r="F316" s="22">
        <f>INDEX(Data[],MATCH($A316,Data[Dist],0),MATCH(F$4,Data[#Headers],0))</f>
        <v>42529</v>
      </c>
      <c r="G316" s="22">
        <f>INDEX(Data[],MATCH($A316,Data[Dist],0),MATCH(G$4,Data[#Headers],0))</f>
        <v>151888</v>
      </c>
      <c r="H316" s="22">
        <f>INDEX(Data[],MATCH($A316,Data[Dist],0),MATCH(H$4,Data[#Headers],0))</f>
        <v>2165761</v>
      </c>
      <c r="I316" s="22">
        <f>INDEX(Data[],MATCH($A316,Data[Dist],0),MATCH(I$4,Data[#Headers],0))</f>
        <v>2861180</v>
      </c>
      <c r="J316" s="23"/>
    </row>
    <row r="317" spans="1:10" x14ac:dyDescent="0.2">
      <c r="A317" s="20" t="str">
        <f>Data!B313</f>
        <v>6943</v>
      </c>
      <c r="B317" s="21" t="str">
        <f>INDEX(Data[],MATCH($A317,Data[Dist],0),MATCH(B$4,Data[#Headers],0))</f>
        <v>West Central</v>
      </c>
      <c r="C317" s="22">
        <f>INDEX(Data[],MATCH($A317,Data[Dist],0),MATCH(C$4,Data[#Headers],0))</f>
        <v>36866</v>
      </c>
      <c r="D317" s="22">
        <f>INDEX(Data[],MATCH($A317,Data[Dist],0),MATCH(D$4,Data[#Headers],0))</f>
        <v>161561</v>
      </c>
      <c r="E317" s="22">
        <f>INDEX(Data[],MATCH($A317,Data[Dist],0),MATCH(E$4,Data[#Headers],0))</f>
        <v>15536</v>
      </c>
      <c r="F317" s="22">
        <f>INDEX(Data[],MATCH($A317,Data[Dist],0),MATCH(F$4,Data[#Headers],0))</f>
        <v>16852</v>
      </c>
      <c r="G317" s="22">
        <f>INDEX(Data[],MATCH($A317,Data[Dist],0),MATCH(G$4,Data[#Headers],0))</f>
        <v>84923</v>
      </c>
      <c r="H317" s="22">
        <f>INDEX(Data[],MATCH($A317,Data[Dist],0),MATCH(H$4,Data[#Headers],0))</f>
        <v>943953</v>
      </c>
      <c r="I317" s="22">
        <f>INDEX(Data[],MATCH($A317,Data[Dist],0),MATCH(I$4,Data[#Headers],0))</f>
        <v>1259691</v>
      </c>
      <c r="J317" s="23"/>
    </row>
    <row r="318" spans="1:10" x14ac:dyDescent="0.2">
      <c r="A318" s="20" t="str">
        <f>Data!B314</f>
        <v>6950</v>
      </c>
      <c r="B318" s="21" t="str">
        <f>INDEX(Data[],MATCH($A318,Data[Dist],0),MATCH(B$4,Data[#Headers],0))</f>
        <v>West Delaware Co</v>
      </c>
      <c r="C318" s="22">
        <f>INDEX(Data[],MATCH($A318,Data[Dist],0),MATCH(C$4,Data[#Headers],0))</f>
        <v>204436</v>
      </c>
      <c r="D318" s="22">
        <f>INDEX(Data[],MATCH($A318,Data[Dist],0),MATCH(D$4,Data[#Headers],0))</f>
        <v>856092</v>
      </c>
      <c r="E318" s="22">
        <f>INDEX(Data[],MATCH($A318,Data[Dist],0),MATCH(E$4,Data[#Headers],0))</f>
        <v>93101</v>
      </c>
      <c r="F318" s="22">
        <f>INDEX(Data[],MATCH($A318,Data[Dist],0),MATCH(F$4,Data[#Headers],0))</f>
        <v>94919</v>
      </c>
      <c r="G318" s="22">
        <f>INDEX(Data[],MATCH($A318,Data[Dist],0),MATCH(G$4,Data[#Headers],0))</f>
        <v>481705</v>
      </c>
      <c r="H318" s="22">
        <f>INDEX(Data[],MATCH($A318,Data[Dist],0),MATCH(H$4,Data[#Headers],0))</f>
        <v>6397421</v>
      </c>
      <c r="I318" s="22">
        <f>INDEX(Data[],MATCH($A318,Data[Dist],0),MATCH(I$4,Data[#Headers],0))</f>
        <v>8127674</v>
      </c>
      <c r="J318" s="23"/>
    </row>
    <row r="319" spans="1:10" x14ac:dyDescent="0.2">
      <c r="A319" s="20" t="str">
        <f>Data!B315</f>
        <v>6957</v>
      </c>
      <c r="B319" s="21" t="str">
        <f>INDEX(Data[],MATCH($A319,Data[Dist],0),MATCH(B$4,Data[#Headers],0))</f>
        <v>West Des Moines</v>
      </c>
      <c r="C319" s="22">
        <f>INDEX(Data[],MATCH($A319,Data[Dist],0),MATCH(C$4,Data[#Headers],0))</f>
        <v>1360674</v>
      </c>
      <c r="D319" s="22">
        <f>INDEX(Data[],MATCH($A319,Data[Dist],0),MATCH(D$4,Data[#Headers],0))</f>
        <v>4935221</v>
      </c>
      <c r="E319" s="22">
        <f>INDEX(Data[],MATCH($A319,Data[Dist],0),MATCH(E$4,Data[#Headers],0))</f>
        <v>550151</v>
      </c>
      <c r="F319" s="22">
        <f>INDEX(Data[],MATCH($A319,Data[Dist],0),MATCH(F$4,Data[#Headers],0))</f>
        <v>562369</v>
      </c>
      <c r="G319" s="22">
        <f>INDEX(Data[],MATCH($A319,Data[Dist],0),MATCH(G$4,Data[#Headers],0))</f>
        <v>2911727</v>
      </c>
      <c r="H319" s="22">
        <f>INDEX(Data[],MATCH($A319,Data[Dist],0),MATCH(H$4,Data[#Headers],0))</f>
        <v>33079773</v>
      </c>
      <c r="I319" s="22">
        <f>INDEX(Data[],MATCH($A319,Data[Dist],0),MATCH(I$4,Data[#Headers],0))</f>
        <v>43399915</v>
      </c>
      <c r="J319" s="23"/>
    </row>
    <row r="320" spans="1:10" x14ac:dyDescent="0.2">
      <c r="A320" s="20" t="str">
        <f>Data!B316</f>
        <v>6961</v>
      </c>
      <c r="B320" s="21" t="str">
        <f>INDEX(Data[],MATCH($A320,Data[Dist],0),MATCH(B$4,Data[#Headers],0))</f>
        <v>Western Dubuque Co</v>
      </c>
      <c r="C320" s="22">
        <f>INDEX(Data[],MATCH($A320,Data[Dist],0),MATCH(C$4,Data[#Headers],0))</f>
        <v>898179</v>
      </c>
      <c r="D320" s="22">
        <f>INDEX(Data[],MATCH($A320,Data[Dist],0),MATCH(D$4,Data[#Headers],0))</f>
        <v>1793607</v>
      </c>
      <c r="E320" s="22">
        <f>INDEX(Data[],MATCH($A320,Data[Dist],0),MATCH(E$4,Data[#Headers],0))</f>
        <v>205220</v>
      </c>
      <c r="F320" s="22">
        <f>INDEX(Data[],MATCH($A320,Data[Dist],0),MATCH(F$4,Data[#Headers],0))</f>
        <v>199237</v>
      </c>
      <c r="G320" s="22">
        <f>INDEX(Data[],MATCH($A320,Data[Dist],0),MATCH(G$4,Data[#Headers],0))</f>
        <v>1017977</v>
      </c>
      <c r="H320" s="22">
        <f>INDEX(Data[],MATCH($A320,Data[Dist],0),MATCH(H$4,Data[#Headers],0))</f>
        <v>12380597</v>
      </c>
      <c r="I320" s="22">
        <f>INDEX(Data[],MATCH($A320,Data[Dist],0),MATCH(I$4,Data[#Headers],0))</f>
        <v>16494817</v>
      </c>
      <c r="J320" s="23"/>
    </row>
    <row r="321" spans="1:10" x14ac:dyDescent="0.2">
      <c r="A321" s="20" t="str">
        <f>Data!B317</f>
        <v>6969</v>
      </c>
      <c r="B321" s="21" t="str">
        <f>INDEX(Data[],MATCH($A321,Data[Dist],0),MATCH(B$4,Data[#Headers],0))</f>
        <v>West Harrison</v>
      </c>
      <c r="C321" s="22">
        <f>INDEX(Data[],MATCH($A321,Data[Dist],0),MATCH(C$4,Data[#Headers],0))</f>
        <v>63677</v>
      </c>
      <c r="D321" s="22">
        <f>INDEX(Data[],MATCH($A321,Data[Dist],0),MATCH(D$4,Data[#Headers],0))</f>
        <v>206500</v>
      </c>
      <c r="E321" s="22">
        <f>INDEX(Data[],MATCH($A321,Data[Dist],0),MATCH(E$4,Data[#Headers],0))</f>
        <v>18988</v>
      </c>
      <c r="F321" s="22">
        <f>INDEX(Data[],MATCH($A321,Data[Dist],0),MATCH(F$4,Data[#Headers],0))</f>
        <v>22542</v>
      </c>
      <c r="G321" s="22">
        <f>INDEX(Data[],MATCH($A321,Data[Dist],0),MATCH(G$4,Data[#Headers],0))</f>
        <v>112969</v>
      </c>
      <c r="H321" s="22">
        <f>INDEX(Data[],MATCH($A321,Data[Dist],0),MATCH(H$4,Data[#Headers],0))</f>
        <v>1395256</v>
      </c>
      <c r="I321" s="22">
        <f>INDEX(Data[],MATCH($A321,Data[Dist],0),MATCH(I$4,Data[#Headers],0))</f>
        <v>1819932</v>
      </c>
      <c r="J321" s="23"/>
    </row>
    <row r="322" spans="1:10" x14ac:dyDescent="0.2">
      <c r="A322" s="20" t="str">
        <f>Data!B318</f>
        <v>6975</v>
      </c>
      <c r="B322" s="21" t="str">
        <f>INDEX(Data[],MATCH($A322,Data[Dist],0),MATCH(B$4,Data[#Headers],0))</f>
        <v>West Liberty</v>
      </c>
      <c r="C322" s="22">
        <f>INDEX(Data[],MATCH($A322,Data[Dist],0),MATCH(C$4,Data[#Headers],0))</f>
        <v>294925</v>
      </c>
      <c r="D322" s="22">
        <f>INDEX(Data[],MATCH($A322,Data[Dist],0),MATCH(D$4,Data[#Headers],0))</f>
        <v>808082</v>
      </c>
      <c r="E322" s="22">
        <f>INDEX(Data[],MATCH($A322,Data[Dist],0),MATCH(E$4,Data[#Headers],0))</f>
        <v>111118</v>
      </c>
      <c r="F322" s="22">
        <f>INDEX(Data[],MATCH($A322,Data[Dist],0),MATCH(F$4,Data[#Headers],0))</f>
        <v>84416</v>
      </c>
      <c r="G322" s="22">
        <f>INDEX(Data[],MATCH($A322,Data[Dist],0),MATCH(G$4,Data[#Headers],0))</f>
        <v>449623</v>
      </c>
      <c r="H322" s="22">
        <f>INDEX(Data[],MATCH($A322,Data[Dist],0),MATCH(H$4,Data[#Headers],0))</f>
        <v>7950528</v>
      </c>
      <c r="I322" s="22">
        <f>INDEX(Data[],MATCH($A322,Data[Dist],0),MATCH(I$4,Data[#Headers],0))</f>
        <v>9698692</v>
      </c>
      <c r="J322" s="23"/>
    </row>
    <row r="323" spans="1:10" x14ac:dyDescent="0.2">
      <c r="A323" s="20" t="str">
        <f>Data!B319</f>
        <v>6983</v>
      </c>
      <c r="B323" s="21" t="str">
        <f>INDEX(Data[],MATCH($A323,Data[Dist],0),MATCH(B$4,Data[#Headers],0))</f>
        <v>West Lyon</v>
      </c>
      <c r="C323" s="22">
        <f>INDEX(Data[],MATCH($A323,Data[Dist],0),MATCH(C$4,Data[#Headers],0))</f>
        <v>157517</v>
      </c>
      <c r="D323" s="22">
        <f>INDEX(Data[],MATCH($A323,Data[Dist],0),MATCH(D$4,Data[#Headers],0))</f>
        <v>504124</v>
      </c>
      <c r="E323" s="22">
        <f>INDEX(Data[],MATCH($A323,Data[Dist],0),MATCH(E$4,Data[#Headers],0))</f>
        <v>57807</v>
      </c>
      <c r="F323" s="22">
        <f>INDEX(Data[],MATCH($A323,Data[Dist],0),MATCH(F$4,Data[#Headers],0))</f>
        <v>56691</v>
      </c>
      <c r="G323" s="22">
        <f>INDEX(Data[],MATCH($A323,Data[Dist],0),MATCH(G$4,Data[#Headers],0))</f>
        <v>301360</v>
      </c>
      <c r="H323" s="22">
        <f>INDEX(Data[],MATCH($A323,Data[Dist],0),MATCH(H$4,Data[#Headers],0))</f>
        <v>3792919</v>
      </c>
      <c r="I323" s="22">
        <f>INDEX(Data[],MATCH($A323,Data[Dist],0),MATCH(I$4,Data[#Headers],0))</f>
        <v>4870418</v>
      </c>
      <c r="J323" s="23"/>
    </row>
    <row r="324" spans="1:10" x14ac:dyDescent="0.2">
      <c r="A324" s="20" t="str">
        <f>Data!B320</f>
        <v>6985</v>
      </c>
      <c r="B324" s="21" t="str">
        <f>INDEX(Data[],MATCH($A324,Data[Dist],0),MATCH(B$4,Data[#Headers],0))</f>
        <v>West Marshall</v>
      </c>
      <c r="C324" s="22">
        <f>INDEX(Data[],MATCH($A324,Data[Dist],0),MATCH(C$4,Data[#Headers],0))</f>
        <v>167571</v>
      </c>
      <c r="D324" s="22">
        <f>INDEX(Data[],MATCH($A324,Data[Dist],0),MATCH(D$4,Data[#Headers],0))</f>
        <v>520392</v>
      </c>
      <c r="E324" s="22">
        <f>INDEX(Data[],MATCH($A324,Data[Dist],0),MATCH(E$4,Data[#Headers],0))</f>
        <v>62611</v>
      </c>
      <c r="F324" s="22">
        <f>INDEX(Data[],MATCH($A324,Data[Dist],0),MATCH(F$4,Data[#Headers],0))</f>
        <v>50809</v>
      </c>
      <c r="G324" s="22">
        <f>INDEX(Data[],MATCH($A324,Data[Dist],0),MATCH(G$4,Data[#Headers],0))</f>
        <v>292577</v>
      </c>
      <c r="H324" s="22">
        <f>INDEX(Data[],MATCH($A324,Data[Dist],0),MATCH(H$4,Data[#Headers],0))</f>
        <v>4371418</v>
      </c>
      <c r="I324" s="22">
        <f>INDEX(Data[],MATCH($A324,Data[Dist],0),MATCH(I$4,Data[#Headers],0))</f>
        <v>5465378</v>
      </c>
      <c r="J324" s="23"/>
    </row>
    <row r="325" spans="1:10" x14ac:dyDescent="0.2">
      <c r="A325" s="20" t="str">
        <f>Data!B321</f>
        <v>6987</v>
      </c>
      <c r="B325" s="21" t="str">
        <f>INDEX(Data[],MATCH($A325,Data[Dist],0),MATCH(B$4,Data[#Headers],0))</f>
        <v>West Monona</v>
      </c>
      <c r="C325" s="22">
        <f>INDEX(Data[],MATCH($A325,Data[Dist],0),MATCH(C$4,Data[#Headers],0))</f>
        <v>150814</v>
      </c>
      <c r="D325" s="22">
        <f>INDEX(Data[],MATCH($A325,Data[Dist],0),MATCH(D$4,Data[#Headers],0))</f>
        <v>386934</v>
      </c>
      <c r="E325" s="22">
        <f>INDEX(Data[],MATCH($A325,Data[Dist],0),MATCH(E$4,Data[#Headers],0))</f>
        <v>43756</v>
      </c>
      <c r="F325" s="22">
        <f>INDEX(Data[],MATCH($A325,Data[Dist],0),MATCH(F$4,Data[#Headers],0))</f>
        <v>40887</v>
      </c>
      <c r="G325" s="22">
        <f>INDEX(Data[],MATCH($A325,Data[Dist],0),MATCH(G$4,Data[#Headers],0))</f>
        <v>209802</v>
      </c>
      <c r="H325" s="22">
        <f>INDEX(Data[],MATCH($A325,Data[Dist],0),MATCH(H$4,Data[#Headers],0))</f>
        <v>2775350</v>
      </c>
      <c r="I325" s="22">
        <f>INDEX(Data[],MATCH($A325,Data[Dist],0),MATCH(I$4,Data[#Headers],0))</f>
        <v>3607543</v>
      </c>
      <c r="J325" s="23"/>
    </row>
    <row r="326" spans="1:10" x14ac:dyDescent="0.2">
      <c r="A326" s="20" t="str">
        <f>Data!B322</f>
        <v>6990</v>
      </c>
      <c r="B326" s="21" t="str">
        <f>INDEX(Data[],MATCH($A326,Data[Dist],0),MATCH(B$4,Data[#Headers],0))</f>
        <v>West Sioux</v>
      </c>
      <c r="C326" s="22">
        <f>INDEX(Data[],MATCH($A326,Data[Dist],0),MATCH(C$4,Data[#Headers],0))</f>
        <v>174274</v>
      </c>
      <c r="D326" s="22">
        <f>INDEX(Data[],MATCH($A326,Data[Dist],0),MATCH(D$4,Data[#Headers],0))</f>
        <v>510536</v>
      </c>
      <c r="E326" s="22">
        <f>INDEX(Data[],MATCH($A326,Data[Dist],0),MATCH(E$4,Data[#Headers],0))</f>
        <v>60484</v>
      </c>
      <c r="F326" s="22">
        <f>INDEX(Data[],MATCH($A326,Data[Dist],0),MATCH(F$4,Data[#Headers],0))</f>
        <v>58658</v>
      </c>
      <c r="G326" s="22">
        <f>INDEX(Data[],MATCH($A326,Data[Dist],0),MATCH(G$4,Data[#Headers],0))</f>
        <v>272236</v>
      </c>
      <c r="H326" s="22">
        <f>INDEX(Data[],MATCH($A326,Data[Dist],0),MATCH(H$4,Data[#Headers],0))</f>
        <v>4535757</v>
      </c>
      <c r="I326" s="22">
        <f>INDEX(Data[],MATCH($A326,Data[Dist],0),MATCH(I$4,Data[#Headers],0))</f>
        <v>5611945</v>
      </c>
      <c r="J326" s="23"/>
    </row>
    <row r="327" spans="1:10" x14ac:dyDescent="0.2">
      <c r="A327" s="20" t="str">
        <f>Data!B323</f>
        <v>6992</v>
      </c>
      <c r="B327" s="21" t="str">
        <f>INDEX(Data[],MATCH($A327,Data[Dist],0),MATCH(B$4,Data[#Headers],0))</f>
        <v>Westwood</v>
      </c>
      <c r="C327" s="22">
        <f>INDEX(Data[],MATCH($A327,Data[Dist],0),MATCH(C$4,Data[#Headers],0))</f>
        <v>130705</v>
      </c>
      <c r="D327" s="22">
        <f>INDEX(Data[],MATCH($A327,Data[Dist],0),MATCH(D$4,Data[#Headers],0))</f>
        <v>329907</v>
      </c>
      <c r="E327" s="22">
        <f>INDEX(Data[],MATCH($A327,Data[Dist],0),MATCH(E$4,Data[#Headers],0))</f>
        <v>37405</v>
      </c>
      <c r="F327" s="22">
        <f>INDEX(Data[],MATCH($A327,Data[Dist],0),MATCH(F$4,Data[#Headers],0))</f>
        <v>38065</v>
      </c>
      <c r="G327" s="22">
        <f>INDEX(Data[],MATCH($A327,Data[Dist],0),MATCH(G$4,Data[#Headers],0))</f>
        <v>174889</v>
      </c>
      <c r="H327" s="22">
        <f>INDEX(Data[],MATCH($A327,Data[Dist],0),MATCH(H$4,Data[#Headers],0))</f>
        <v>1700513</v>
      </c>
      <c r="I327" s="22">
        <f>INDEX(Data[],MATCH($A327,Data[Dist],0),MATCH(I$4,Data[#Headers],0))</f>
        <v>2411484</v>
      </c>
      <c r="J327" s="23"/>
    </row>
    <row r="328" spans="1:10" x14ac:dyDescent="0.2">
      <c r="A328" s="20" t="str">
        <f>Data!B324</f>
        <v>7002</v>
      </c>
      <c r="B328" s="21" t="str">
        <f>INDEX(Data[],MATCH($A328,Data[Dist],0),MATCH(B$4,Data[#Headers],0))</f>
        <v>Whiting</v>
      </c>
      <c r="C328" s="22">
        <f>INDEX(Data[],MATCH($A328,Data[Dist],0),MATCH(C$4,Data[#Headers],0))</f>
        <v>30163</v>
      </c>
      <c r="D328" s="22">
        <f>INDEX(Data[],MATCH($A328,Data[Dist],0),MATCH(D$4,Data[#Headers],0))</f>
        <v>146907</v>
      </c>
      <c r="E328" s="22">
        <f>INDEX(Data[],MATCH($A328,Data[Dist],0),MATCH(E$4,Data[#Headers],0))</f>
        <v>18236</v>
      </c>
      <c r="F328" s="22">
        <f>INDEX(Data[],MATCH($A328,Data[Dist],0),MATCH(F$4,Data[#Headers],0))</f>
        <v>16562</v>
      </c>
      <c r="G328" s="22">
        <f>INDEX(Data[],MATCH($A328,Data[Dist],0),MATCH(G$4,Data[#Headers],0))</f>
        <v>66998</v>
      </c>
      <c r="H328" s="22">
        <f>INDEX(Data[],MATCH($A328,Data[Dist],0),MATCH(H$4,Data[#Headers],0))</f>
        <v>852408</v>
      </c>
      <c r="I328" s="22">
        <f>INDEX(Data[],MATCH($A328,Data[Dist],0),MATCH(I$4,Data[#Headers],0))</f>
        <v>1131274</v>
      </c>
      <c r="J328" s="23"/>
    </row>
    <row r="329" spans="1:10" x14ac:dyDescent="0.2">
      <c r="A329" s="20" t="str">
        <f>Data!B325</f>
        <v>7029</v>
      </c>
      <c r="B329" s="21" t="str">
        <f>INDEX(Data[],MATCH($A329,Data[Dist],0),MATCH(B$4,Data[#Headers],0))</f>
        <v>Williamsburg</v>
      </c>
      <c r="C329" s="22">
        <f>INDEX(Data[],MATCH($A329,Data[Dist],0),MATCH(C$4,Data[#Headers],0))</f>
        <v>264762</v>
      </c>
      <c r="D329" s="22">
        <f>INDEX(Data[],MATCH($A329,Data[Dist],0),MATCH(D$4,Data[#Headers],0))</f>
        <v>653406</v>
      </c>
      <c r="E329" s="22">
        <f>INDEX(Data[],MATCH($A329,Data[Dist],0),MATCH(E$4,Data[#Headers],0))</f>
        <v>62005</v>
      </c>
      <c r="F329" s="22">
        <f>INDEX(Data[],MATCH($A329,Data[Dist],0),MATCH(F$4,Data[#Headers],0))</f>
        <v>71437</v>
      </c>
      <c r="G329" s="22">
        <f>INDEX(Data[],MATCH($A329,Data[Dist],0),MATCH(G$4,Data[#Headers],0))</f>
        <v>367019</v>
      </c>
      <c r="H329" s="22">
        <f>INDEX(Data[],MATCH($A329,Data[Dist],0),MATCH(H$4,Data[#Headers],0))</f>
        <v>4914561</v>
      </c>
      <c r="I329" s="22">
        <f>INDEX(Data[],MATCH($A329,Data[Dist],0),MATCH(I$4,Data[#Headers],0))</f>
        <v>6333190</v>
      </c>
      <c r="J329" s="23"/>
    </row>
    <row r="330" spans="1:10" x14ac:dyDescent="0.2">
      <c r="A330" s="20" t="str">
        <f>Data!B326</f>
        <v>7038</v>
      </c>
      <c r="B330" s="21" t="str">
        <f>INDEX(Data[],MATCH($A330,Data[Dist],0),MATCH(B$4,Data[#Headers],0))</f>
        <v>Wilton</v>
      </c>
      <c r="C330" s="22">
        <f>INDEX(Data[],MATCH($A330,Data[Dist],0),MATCH(C$4,Data[#Headers],0))</f>
        <v>154165</v>
      </c>
      <c r="D330" s="22">
        <f>INDEX(Data[],MATCH($A330,Data[Dist],0),MATCH(D$4,Data[#Headers],0))</f>
        <v>493257</v>
      </c>
      <c r="E330" s="22">
        <f>INDEX(Data[],MATCH($A330,Data[Dist],0),MATCH(E$4,Data[#Headers],0))</f>
        <v>55872</v>
      </c>
      <c r="F330" s="22">
        <f>INDEX(Data[],MATCH($A330,Data[Dist],0),MATCH(F$4,Data[#Headers],0))</f>
        <v>55069</v>
      </c>
      <c r="G330" s="22">
        <f>INDEX(Data[],MATCH($A330,Data[Dist],0),MATCH(G$4,Data[#Headers],0))</f>
        <v>270538</v>
      </c>
      <c r="H330" s="22">
        <f>INDEX(Data[],MATCH($A330,Data[Dist],0),MATCH(H$4,Data[#Headers],0))</f>
        <v>3962502</v>
      </c>
      <c r="I330" s="22">
        <f>INDEX(Data[],MATCH($A330,Data[Dist],0),MATCH(I$4,Data[#Headers],0))</f>
        <v>4991403</v>
      </c>
      <c r="J330" s="23"/>
    </row>
    <row r="331" spans="1:10" x14ac:dyDescent="0.2">
      <c r="A331" s="20" t="str">
        <f>Data!B327</f>
        <v>7047</v>
      </c>
      <c r="B331" s="21" t="str">
        <f>INDEX(Data[],MATCH($A331,Data[Dist],0),MATCH(B$4,Data[#Headers],0))</f>
        <v>Winfield-Mt Union</v>
      </c>
      <c r="C331" s="22">
        <f>INDEX(Data[],MATCH($A331,Data[Dist],0),MATCH(C$4,Data[#Headers],0))</f>
        <v>56974</v>
      </c>
      <c r="D331" s="22">
        <f>INDEX(Data[],MATCH($A331,Data[Dist],0),MATCH(D$4,Data[#Headers],0))</f>
        <v>214157</v>
      </c>
      <c r="E331" s="22">
        <f>INDEX(Data[],MATCH($A331,Data[Dist],0),MATCH(E$4,Data[#Headers],0))</f>
        <v>26360</v>
      </c>
      <c r="F331" s="22">
        <f>INDEX(Data[],MATCH($A331,Data[Dist],0),MATCH(F$4,Data[#Headers],0))</f>
        <v>23203</v>
      </c>
      <c r="G331" s="22">
        <f>INDEX(Data[],MATCH($A331,Data[Dist],0),MATCH(G$4,Data[#Headers],0))</f>
        <v>114922</v>
      </c>
      <c r="H331" s="22">
        <f>INDEX(Data[],MATCH($A331,Data[Dist],0),MATCH(H$4,Data[#Headers],0))</f>
        <v>1556078</v>
      </c>
      <c r="I331" s="22">
        <f>INDEX(Data[],MATCH($A331,Data[Dist],0),MATCH(I$4,Data[#Headers],0))</f>
        <v>1991694</v>
      </c>
      <c r="J331" s="23"/>
    </row>
    <row r="332" spans="1:10" x14ac:dyDescent="0.2">
      <c r="A332" s="20" t="str">
        <f>Data!B328</f>
        <v>7056</v>
      </c>
      <c r="B332" s="21" t="str">
        <f>INDEX(Data[],MATCH($A332,Data[Dist],0),MATCH(B$4,Data[#Headers],0))</f>
        <v>Winterset</v>
      </c>
      <c r="C332" s="22">
        <f>INDEX(Data[],MATCH($A332,Data[Dist],0),MATCH(C$4,Data[#Headers],0))</f>
        <v>278167</v>
      </c>
      <c r="D332" s="22">
        <f>INDEX(Data[],MATCH($A332,Data[Dist],0),MATCH(D$4,Data[#Headers],0))</f>
        <v>961399</v>
      </c>
      <c r="E332" s="22">
        <f>INDEX(Data[],MATCH($A332,Data[Dist],0),MATCH(E$4,Data[#Headers],0))</f>
        <v>124825</v>
      </c>
      <c r="F332" s="22">
        <f>INDEX(Data[],MATCH($A332,Data[Dist],0),MATCH(F$4,Data[#Headers],0))</f>
        <v>103958</v>
      </c>
      <c r="G332" s="22">
        <f>INDEX(Data[],MATCH($A332,Data[Dist],0),MATCH(G$4,Data[#Headers],0))</f>
        <v>558446</v>
      </c>
      <c r="H332" s="22">
        <f>INDEX(Data[],MATCH($A332,Data[Dist],0),MATCH(H$4,Data[#Headers],0))</f>
        <v>8677420</v>
      </c>
      <c r="I332" s="22">
        <f>INDEX(Data[],MATCH($A332,Data[Dist],0),MATCH(I$4,Data[#Headers],0))</f>
        <v>10704215</v>
      </c>
      <c r="J332" s="23"/>
    </row>
    <row r="333" spans="1:10" x14ac:dyDescent="0.2">
      <c r="A333" s="20" t="str">
        <f>Data!B329</f>
        <v>7092</v>
      </c>
      <c r="B333" s="21" t="str">
        <f>INDEX(Data[],MATCH($A333,Data[Dist],0),MATCH(B$4,Data[#Headers],0))</f>
        <v>Woodbine</v>
      </c>
      <c r="C333" s="22">
        <f>INDEX(Data[],MATCH($A333,Data[Dist],0),MATCH(C$4,Data[#Headers],0))</f>
        <v>63677</v>
      </c>
      <c r="D333" s="22">
        <f>INDEX(Data[],MATCH($A333,Data[Dist],0),MATCH(D$4,Data[#Headers],0))</f>
        <v>300022</v>
      </c>
      <c r="E333" s="22">
        <f>INDEX(Data[],MATCH($A333,Data[Dist],0),MATCH(E$4,Data[#Headers],0))</f>
        <v>34878</v>
      </c>
      <c r="F333" s="22">
        <f>INDEX(Data[],MATCH($A333,Data[Dist],0),MATCH(F$4,Data[#Headers],0))</f>
        <v>33590</v>
      </c>
      <c r="G333" s="22">
        <f>INDEX(Data[],MATCH($A333,Data[Dist],0),MATCH(G$4,Data[#Headers],0))</f>
        <v>154879</v>
      </c>
      <c r="H333" s="22">
        <f>INDEX(Data[],MATCH($A333,Data[Dist],0),MATCH(H$4,Data[#Headers],0))</f>
        <v>2112815</v>
      </c>
      <c r="I333" s="22">
        <f>INDEX(Data[],MATCH($A333,Data[Dist],0),MATCH(I$4,Data[#Headers],0))</f>
        <v>2699861</v>
      </c>
      <c r="J333" s="23"/>
    </row>
    <row r="334" spans="1:10" x14ac:dyDescent="0.2">
      <c r="A334" s="20" t="str">
        <f>Data!B330</f>
        <v>7098</v>
      </c>
      <c r="B334" s="21" t="str">
        <f>INDEX(Data[],MATCH($A334,Data[Dist],0),MATCH(B$4,Data[#Headers],0))</f>
        <v>Woodbury Central</v>
      </c>
      <c r="C334" s="22">
        <f>INDEX(Data[],MATCH($A334,Data[Dist],0),MATCH(C$4,Data[#Headers],0))</f>
        <v>124002</v>
      </c>
      <c r="D334" s="22">
        <f>INDEX(Data[],MATCH($A334,Data[Dist],0),MATCH(D$4,Data[#Headers],0))</f>
        <v>323024</v>
      </c>
      <c r="E334" s="22">
        <f>INDEX(Data[],MATCH($A334,Data[Dist],0),MATCH(E$4,Data[#Headers],0))</f>
        <v>36701</v>
      </c>
      <c r="F334" s="22">
        <f>INDEX(Data[],MATCH($A334,Data[Dist],0),MATCH(F$4,Data[#Headers],0))</f>
        <v>35158</v>
      </c>
      <c r="G334" s="22">
        <f>INDEX(Data[],MATCH($A334,Data[Dist],0),MATCH(G$4,Data[#Headers],0))</f>
        <v>180805</v>
      </c>
      <c r="H334" s="22">
        <f>INDEX(Data[],MATCH($A334,Data[Dist],0),MATCH(H$4,Data[#Headers],0))</f>
        <v>2809203</v>
      </c>
      <c r="I334" s="22">
        <f>INDEX(Data[],MATCH($A334,Data[Dist],0),MATCH(I$4,Data[#Headers],0))</f>
        <v>3508893</v>
      </c>
      <c r="J334" s="23"/>
    </row>
    <row r="335" spans="1:10" x14ac:dyDescent="0.2">
      <c r="A335" s="20" t="str">
        <f>Data!B331</f>
        <v>7110</v>
      </c>
      <c r="B335" s="21" t="str">
        <f>INDEX(Data[],MATCH($A335,Data[Dist],0),MATCH(B$4,Data[#Headers],0))</f>
        <v>Woodward-Granger</v>
      </c>
      <c r="C335" s="22">
        <f>INDEX(Data[],MATCH($A335,Data[Dist],0),MATCH(C$4,Data[#Headers],0))</f>
        <v>284870</v>
      </c>
      <c r="D335" s="22">
        <f>INDEX(Data[],MATCH($A335,Data[Dist],0),MATCH(D$4,Data[#Headers],0))</f>
        <v>553258</v>
      </c>
      <c r="E335" s="22">
        <f>INDEX(Data[],MATCH($A335,Data[Dist],0),MATCH(E$4,Data[#Headers],0))</f>
        <v>61184</v>
      </c>
      <c r="F335" s="22">
        <f>INDEX(Data[],MATCH($A335,Data[Dist],0),MATCH(F$4,Data[#Headers],0))</f>
        <v>57919</v>
      </c>
      <c r="G335" s="22">
        <f>INDEX(Data[],MATCH($A335,Data[Dist],0),MATCH(G$4,Data[#Headers],0))</f>
        <v>313505</v>
      </c>
      <c r="H335" s="22">
        <f>INDEX(Data[],MATCH($A335,Data[Dist],0),MATCH(H$4,Data[#Headers],0))</f>
        <v>4582381</v>
      </c>
      <c r="I335" s="22">
        <f>INDEX(Data[],MATCH($A335,Data[Dist],0),MATCH(I$4,Data[#Headers],0))</f>
        <v>5853117</v>
      </c>
      <c r="J335" s="23"/>
    </row>
    <row r="336" spans="1:10" ht="13.5" thickBot="1" x14ac:dyDescent="0.25">
      <c r="C336" s="24">
        <f t="shared" ref="C336:I336" si="0">SUM(C6:C335)</f>
        <v>81831615</v>
      </c>
      <c r="D336" s="24">
        <f t="shared" si="0"/>
        <v>282938336</v>
      </c>
      <c r="E336" s="24">
        <f t="shared" si="0"/>
        <v>34895866</v>
      </c>
      <c r="F336" s="24">
        <f t="shared" si="0"/>
        <v>32059802</v>
      </c>
      <c r="G336" s="24">
        <f t="shared" si="0"/>
        <v>159466485</v>
      </c>
      <c r="H336" s="24">
        <f t="shared" si="0"/>
        <v>2390431965</v>
      </c>
      <c r="I336" s="24">
        <f t="shared" si="0"/>
        <v>2981624069</v>
      </c>
    </row>
    <row r="337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348"/>
  <sheetViews>
    <sheetView workbookViewId="0">
      <pane xSplit="2" ySplit="5" topLeftCell="C314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7" customWidth="1"/>
    <col min="2" max="2" width="24.5703125" style="48" bestFit="1" customWidth="1"/>
    <col min="3" max="3" width="15.42578125" style="49" customWidth="1"/>
    <col min="4" max="6" width="15.42578125" style="167" customWidth="1"/>
    <col min="7" max="8" width="15.42578125" style="49" customWidth="1"/>
    <col min="9" max="9" width="9.140625" style="48" customWidth="1"/>
    <col min="10" max="15" width="9.140625" style="48" hidden="1" customWidth="1"/>
    <col min="16" max="16" width="12.85546875" style="48" hidden="1" customWidth="1"/>
    <col min="17" max="18" width="9.140625" style="48" hidden="1" customWidth="1"/>
    <col min="19" max="19" width="10" style="48" hidden="1" customWidth="1"/>
    <col min="20" max="20" width="9.140625" style="67" hidden="1" customWidth="1"/>
    <col min="21" max="29" width="9.140625" style="48" hidden="1" customWidth="1"/>
    <col min="30" max="30" width="9.140625" style="48" customWidth="1"/>
    <col min="31" max="16384" width="9.140625" style="48"/>
  </cols>
  <sheetData>
    <row r="1" spans="1:29" s="11" customFormat="1" ht="17.25" customHeight="1" x14ac:dyDescent="0.3">
      <c r="A1" s="180" t="str">
        <f>CONCATENATE("FY ",Notes!$B$1," State Payments to School Districts (",Notes!$B$2," Total)")</f>
        <v>FY 2019 State Payments to School Districts (June Total)</v>
      </c>
      <c r="B1" s="180"/>
      <c r="C1" s="180"/>
      <c r="D1" s="180"/>
      <c r="E1" s="180"/>
      <c r="F1" s="180"/>
      <c r="G1" s="180"/>
      <c r="H1" s="180"/>
      <c r="I1" s="10"/>
      <c r="J1" s="191" t="s">
        <v>774</v>
      </c>
      <c r="K1" s="191"/>
      <c r="L1" s="191"/>
      <c r="M1" s="191"/>
      <c r="N1" s="191"/>
      <c r="O1" s="10"/>
      <c r="P1" s="35"/>
      <c r="Q1" s="35"/>
      <c r="R1" s="36"/>
      <c r="S1" s="36"/>
      <c r="T1" s="192" t="s">
        <v>777</v>
      </c>
    </row>
    <row r="2" spans="1:29" s="11" customFormat="1" ht="27.75" customHeight="1" x14ac:dyDescent="0.2">
      <c r="A2" s="189" t="s">
        <v>18</v>
      </c>
      <c r="B2" s="189"/>
      <c r="C2" s="189"/>
      <c r="D2" s="189"/>
      <c r="E2" s="189"/>
      <c r="F2" s="189"/>
      <c r="G2" s="189"/>
      <c r="H2" s="189"/>
      <c r="I2" s="28"/>
      <c r="J2" s="190" t="s">
        <v>766</v>
      </c>
      <c r="K2" s="190" t="s">
        <v>767</v>
      </c>
      <c r="L2" s="190" t="s">
        <v>768</v>
      </c>
      <c r="M2" s="190" t="s">
        <v>778</v>
      </c>
      <c r="N2" s="190" t="s">
        <v>769</v>
      </c>
      <c r="O2" s="28"/>
      <c r="P2" s="37"/>
      <c r="Q2" s="37"/>
      <c r="R2" s="36"/>
      <c r="S2" s="183" t="s">
        <v>754</v>
      </c>
      <c r="T2" s="192"/>
      <c r="Y2" s="183" t="s">
        <v>754</v>
      </c>
      <c r="Z2" s="182" t="s">
        <v>1143</v>
      </c>
      <c r="AA2" s="182"/>
      <c r="AB2" s="182"/>
      <c r="AC2" s="182"/>
    </row>
    <row r="3" spans="1:29" s="14" customFormat="1" ht="12.75" customHeight="1" x14ac:dyDescent="0.2">
      <c r="A3" s="184"/>
      <c r="B3" s="185"/>
      <c r="C3" s="186" t="s">
        <v>13</v>
      </c>
      <c r="D3" s="187"/>
      <c r="E3" s="187"/>
      <c r="F3" s="187"/>
      <c r="G3" s="187"/>
      <c r="H3" s="188"/>
      <c r="J3" s="190"/>
      <c r="K3" s="190"/>
      <c r="L3" s="190"/>
      <c r="M3" s="190"/>
      <c r="N3" s="190"/>
      <c r="P3" s="38"/>
      <c r="Q3" s="38"/>
      <c r="R3" s="38"/>
      <c r="S3" s="183"/>
      <c r="T3" s="192"/>
      <c r="Y3" s="183"/>
      <c r="Z3" s="182"/>
      <c r="AA3" s="182"/>
      <c r="AB3" s="182"/>
      <c r="AC3" s="182"/>
    </row>
    <row r="4" spans="1:29" s="14" customFormat="1" ht="11.25" customHeight="1" x14ac:dyDescent="0.2">
      <c r="A4" s="13"/>
      <c r="C4" s="61" t="str">
        <f>IF(OR(Notes!$B$2="September",Notes!$B$2="October",Notes!$B$2="November",Notes!$B$2="December"),Notes!$B$2,"Sept - Dec")</f>
        <v>Sept - Dec</v>
      </c>
      <c r="D4" s="161" t="str">
        <f>IF(OR(Notes!$B$2="January",Notes!$B$2="February"),Notes!$B$2,"Jan - Feb")</f>
        <v>Jan - Feb</v>
      </c>
      <c r="E4" s="161" t="str">
        <f>IF(OR(Notes!$B$2="March",Notes!$B$2="April",Notes!$B$2="May"),Notes!$B$2,"March - May")</f>
        <v>March - May</v>
      </c>
      <c r="F4" s="161" t="str">
        <f>IF(Notes!$B$2="June",Notes!$B$2,"June")</f>
        <v>June</v>
      </c>
      <c r="G4" s="61" t="s">
        <v>732</v>
      </c>
      <c r="H4" s="39" t="s">
        <v>751</v>
      </c>
      <c r="J4" s="190"/>
      <c r="K4" s="190"/>
      <c r="L4" s="190"/>
      <c r="M4" s="190"/>
      <c r="N4" s="190"/>
      <c r="P4" s="38"/>
      <c r="Q4" s="38"/>
      <c r="R4" s="38"/>
      <c r="S4" s="183"/>
      <c r="T4" s="192"/>
      <c r="Y4" s="183"/>
      <c r="Z4" s="182"/>
      <c r="AA4" s="182"/>
      <c r="AB4" s="182"/>
      <c r="AC4" s="182"/>
    </row>
    <row r="5" spans="1:29" s="14" customFormat="1" ht="11.25" customHeight="1" x14ac:dyDescent="0.2">
      <c r="A5" s="13"/>
      <c r="C5" s="40" t="s">
        <v>731</v>
      </c>
      <c r="D5" s="162" t="s">
        <v>731</v>
      </c>
      <c r="E5" s="162" t="s">
        <v>731</v>
      </c>
      <c r="F5" s="162" t="s">
        <v>731</v>
      </c>
      <c r="G5" s="40" t="str">
        <f>Notes!$B$2</f>
        <v>June</v>
      </c>
      <c r="H5" s="41" t="s">
        <v>752</v>
      </c>
      <c r="J5" s="190"/>
      <c r="K5" s="190"/>
      <c r="L5" s="190"/>
      <c r="M5" s="190"/>
      <c r="N5" s="190"/>
      <c r="P5" s="38" t="s">
        <v>757</v>
      </c>
      <c r="Q5" s="38"/>
      <c r="R5" s="38"/>
      <c r="S5" s="183"/>
      <c r="T5" s="192"/>
      <c r="V5" s="14" t="s">
        <v>758</v>
      </c>
      <c r="Y5" s="183"/>
      <c r="Z5" s="182"/>
      <c r="AA5" s="182"/>
      <c r="AB5" s="182"/>
      <c r="AC5" s="182"/>
    </row>
    <row r="6" spans="1:29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December Payment</v>
      </c>
      <c r="D6" s="163" t="str">
        <f>IF(OR(Notes!$B$2="January",Notes!$B$2="February"),CONCATENATE(Notes!$B$2," Payment"),"February Payment")</f>
        <v>February Payment</v>
      </c>
      <c r="E6" s="163" t="str">
        <f>IF(OR(Notes!$B$2="March",Notes!$B$2="April",Notes!$B$2="May"),CONCATENATE(Notes!$B$2," Payment"),"May Payment")</f>
        <v>May Payment</v>
      </c>
      <c r="F6" s="163" t="str">
        <f>IF(Notes!$B$2="June",CONCATENATE(Notes!$B$2," Payment"),"June Payment")</f>
        <v>June Payment</v>
      </c>
      <c r="G6" s="42" t="str">
        <f>CONCATENATE("Paid Thru ",Notes!$B$2)</f>
        <v>Paid Thru June</v>
      </c>
      <c r="H6" s="43" t="str">
        <f>Notes!$B$3</f>
        <v>Pay 3 Regular State Payment Budget</v>
      </c>
      <c r="P6" s="38" t="s">
        <v>753</v>
      </c>
      <c r="Q6" s="38"/>
      <c r="R6" s="38"/>
      <c r="S6" s="38"/>
      <c r="T6" s="65" t="s">
        <v>755</v>
      </c>
      <c r="V6" s="14" t="s">
        <v>759</v>
      </c>
      <c r="Y6" s="38"/>
    </row>
    <row r="7" spans="1:29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299945</v>
      </c>
      <c r="D7" s="164">
        <f>INDEX(Data[],MATCH($A7,Data[Dist],0),MATCH(D$6,Data[#Headers],0))</f>
        <v>297337</v>
      </c>
      <c r="E7" s="164">
        <f>INDEX(Data[],MATCH($A7,Data[Dist],0),MATCH(E$6,Data[#Headers],0))</f>
        <v>297337</v>
      </c>
      <c r="F7" s="164">
        <f>INDEX(Data[],MATCH($A7,Data[Dist],0),MATCH(F$6,Data[#Headers],0))</f>
        <v>297336</v>
      </c>
      <c r="G7" s="22">
        <f>INDEX(Data[],MATCH($A7,Data[Dist],0),MATCH(G$6,Data[#Headers],0))</f>
        <v>2983801</v>
      </c>
      <c r="H7" s="22">
        <f>INDEX(Data[],MATCH($A7,Data[Dist],0),MATCH(H$6,Data[#Headers],0))-G7</f>
        <v>0</v>
      </c>
      <c r="I7" s="23"/>
      <c r="J7" s="22">
        <f>INDEX(Notes!$I$2:$N$11,MATCH(Notes!$B$2,Notes!$I$2:$I$11,0),4)*$C7</f>
        <v>1199780</v>
      </c>
      <c r="K7" s="22">
        <f>INDEX(Notes!$I$2:$N$11,MATCH(Notes!$B$2,Notes!$I$2:$I$11,0),5)*$D7</f>
        <v>594674</v>
      </c>
      <c r="L7" s="22">
        <f>INDEX(Notes!$I$2:$N$11,MATCH(Notes!$B$2,Notes!$I$2:$I$11,0),6)*$E7</f>
        <v>892011</v>
      </c>
      <c r="M7" s="22">
        <f>IF(Notes!$B$2="June",'Payment Total'!$F7,0)</f>
        <v>297336</v>
      </c>
      <c r="N7" s="22">
        <f>SUM(J7:M7)-G7</f>
        <v>0</v>
      </c>
      <c r="P7" s="21">
        <v>90000</v>
      </c>
      <c r="Q7" s="21">
        <v>297336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20">
        <f>INDEX($A$7:$H$336,MATCH($S7,$A$7:$A$336,0),6)-Q7</f>
        <v>0</v>
      </c>
      <c r="V7" s="20" t="s">
        <v>814</v>
      </c>
      <c r="W7" s="21">
        <v>297336</v>
      </c>
      <c r="X7" s="21" t="str">
        <f>TEXT(V7/10000,"0000")</f>
        <v>0009</v>
      </c>
      <c r="Y7" s="44" t="str">
        <f>IF(X7="1968","3582",IF(X7="5160","5319",IF(X7="5510","4824",IF(X7="6536","1935",IF(X7="6035","6048",IF(X7="5325","5323",IF(X7="6099","5157",X7)))))))</f>
        <v>0009</v>
      </c>
      <c r="Z7" s="45">
        <f>INDEX($A$7:$H$336,MATCH($Y7,$A$7:$A$336,0),6)-W7</f>
        <v>0</v>
      </c>
    </row>
    <row r="8" spans="1:29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145746</v>
      </c>
      <c r="D8" s="164">
        <f>INDEX(Data[],MATCH($A8,Data[Dist],0),MATCH(D$6,Data[#Headers],0))</f>
        <v>144496</v>
      </c>
      <c r="E8" s="164">
        <f>INDEX(Data[],MATCH($A8,Data[Dist],0),MATCH(E$6,Data[#Headers],0))</f>
        <v>144496</v>
      </c>
      <c r="F8" s="164">
        <f>INDEX(Data[],MATCH($A8,Data[Dist],0),MATCH(F$6,Data[#Headers],0))</f>
        <v>144496</v>
      </c>
      <c r="G8" s="22">
        <f>INDEX(Data[],MATCH($A8,Data[Dist],0),MATCH(G$6,Data[#Headers],0))</f>
        <v>1449960</v>
      </c>
      <c r="H8" s="22">
        <f>INDEX(Data[],MATCH($A8,Data[Dist],0),MATCH(H$6,Data[#Headers],0))-G8</f>
        <v>0</v>
      </c>
      <c r="I8" s="23"/>
      <c r="J8" s="22">
        <f>INDEX(Notes!$I$2:$N$11,MATCH(Notes!$B$2,Notes!$I$2:$I$11,0),4)*$C8</f>
        <v>582984</v>
      </c>
      <c r="K8" s="22">
        <f>INDEX(Notes!$I$2:$N$11,MATCH(Notes!$B$2,Notes!$I$2:$I$11,0),5)*$D8</f>
        <v>288992</v>
      </c>
      <c r="L8" s="22">
        <f>INDEX(Notes!$I$2:$N$11,MATCH(Notes!$B$2,Notes!$I$2:$I$11,0),6)*$E8</f>
        <v>433488</v>
      </c>
      <c r="M8" s="22">
        <f>IF(Notes!$B$2="June",'Payment Total'!$F8,0)</f>
        <v>144496</v>
      </c>
      <c r="N8" s="22">
        <f t="shared" ref="N8:N71" si="0">SUM(J8:M8)-G8</f>
        <v>0</v>
      </c>
      <c r="P8" s="21">
        <v>180000</v>
      </c>
      <c r="Q8" s="21">
        <v>144496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20">
        <f t="shared" ref="T8:T71" si="3">INDEX($A$7:$H$336,MATCH($S8,$A$7:$A$336,0),6)-Q8</f>
        <v>0</v>
      </c>
      <c r="V8" s="20" t="s">
        <v>812</v>
      </c>
      <c r="W8" s="21">
        <v>144496</v>
      </c>
      <c r="X8" s="21" t="str">
        <f t="shared" ref="X8:X71" si="4">TEXT(V8/10000,"0000")</f>
        <v>0018</v>
      </c>
      <c r="Y8" s="44" t="str">
        <f t="shared" ref="Y8:Y71" si="5">IF(X8="1968","3582",IF(X8="5160","5319",IF(X8="5510","4824",IF(X8="6536","1935",IF(X8="6035","6048",IF(X8="5325","5323",IF(X8="6099","5157",X8)))))))</f>
        <v>0018</v>
      </c>
      <c r="Z8" s="45">
        <f t="shared" ref="Z8:Z71" si="6">INDEX($A$7:$H$336,MATCH($Y8,$A$7:$A$336,0),6)-W8</f>
        <v>0</v>
      </c>
    </row>
    <row r="9" spans="1:29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1067627</v>
      </c>
      <c r="D9" s="164">
        <f>INDEX(Data[],MATCH($A9,Data[Dist],0),MATCH(D$6,Data[#Headers],0))</f>
        <v>1060425</v>
      </c>
      <c r="E9" s="164">
        <f>INDEX(Data[],MATCH($A9,Data[Dist],0),MATCH(E$6,Data[#Headers],0))</f>
        <v>1060426</v>
      </c>
      <c r="F9" s="164">
        <f>INDEX(Data[],MATCH($A9,Data[Dist],0),MATCH(F$6,Data[#Headers],0))</f>
        <v>1060424</v>
      </c>
      <c r="G9" s="22">
        <f>INDEX(Data[],MATCH($A9,Data[Dist],0),MATCH(G$6,Data[#Headers],0))</f>
        <v>10633060</v>
      </c>
      <c r="H9" s="22">
        <f>INDEX(Data[],MATCH($A9,Data[Dist],0),MATCH(H$6,Data[#Headers],0))-G9</f>
        <v>0</v>
      </c>
      <c r="I9" s="23"/>
      <c r="J9" s="22">
        <f>INDEX(Notes!$I$2:$N$11,MATCH(Notes!$B$2,Notes!$I$2:$I$11,0),4)*$C9</f>
        <v>4270508</v>
      </c>
      <c r="K9" s="22">
        <f>INDEX(Notes!$I$2:$N$11,MATCH(Notes!$B$2,Notes!$I$2:$I$11,0),5)*$D9</f>
        <v>2120850</v>
      </c>
      <c r="L9" s="22">
        <f>INDEX(Notes!$I$2:$N$11,MATCH(Notes!$B$2,Notes!$I$2:$I$11,0),6)*$E9</f>
        <v>3181278</v>
      </c>
      <c r="M9" s="22">
        <f>IF(Notes!$B$2="June",'Payment Total'!$F9,0)</f>
        <v>1060424</v>
      </c>
      <c r="N9" s="22">
        <f t="shared" si="0"/>
        <v>0</v>
      </c>
      <c r="P9" s="21">
        <v>270000</v>
      </c>
      <c r="Q9" s="21">
        <v>1060424</v>
      </c>
      <c r="R9" s="21" t="str">
        <f t="shared" si="1"/>
        <v>0027</v>
      </c>
      <c r="S9" s="44" t="str">
        <f t="shared" si="2"/>
        <v>0027</v>
      </c>
      <c r="T9" s="20">
        <f t="shared" si="3"/>
        <v>0</v>
      </c>
      <c r="V9" s="20" t="s">
        <v>813</v>
      </c>
      <c r="W9" s="21">
        <v>1060424</v>
      </c>
      <c r="X9" s="21" t="str">
        <f t="shared" si="4"/>
        <v>0027</v>
      </c>
      <c r="Y9" s="44" t="str">
        <f t="shared" si="5"/>
        <v>0027</v>
      </c>
      <c r="Z9" s="45">
        <f t="shared" si="6"/>
        <v>0</v>
      </c>
    </row>
    <row r="10" spans="1:29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353579</v>
      </c>
      <c r="D10" s="164">
        <f>INDEX(Data[],MATCH($A10,Data[Dist],0),MATCH(D$6,Data[#Headers],0))</f>
        <v>351311</v>
      </c>
      <c r="E10" s="164">
        <f>INDEX(Data[],MATCH($A10,Data[Dist],0),MATCH(E$6,Data[#Headers],0))</f>
        <v>351311</v>
      </c>
      <c r="F10" s="164">
        <f>INDEX(Data[],MATCH($A10,Data[Dist],0),MATCH(F$6,Data[#Headers],0))</f>
        <v>351312</v>
      </c>
      <c r="G10" s="22">
        <f>INDEX(Data[],MATCH($A10,Data[Dist],0),MATCH(G$6,Data[#Headers],0))</f>
        <v>3522183</v>
      </c>
      <c r="H10" s="22">
        <f>INDEX(Data[],MATCH($A10,Data[Dist],0),MATCH(H$6,Data[#Headers],0))-G10</f>
        <v>0</v>
      </c>
      <c r="I10" s="23"/>
      <c r="J10" s="22">
        <f>INDEX(Notes!$I$2:$N$11,MATCH(Notes!$B$2,Notes!$I$2:$I$11,0),4)*$C10</f>
        <v>1414316</v>
      </c>
      <c r="K10" s="22">
        <f>INDEX(Notes!$I$2:$N$11,MATCH(Notes!$B$2,Notes!$I$2:$I$11,0),5)*$D10</f>
        <v>702622</v>
      </c>
      <c r="L10" s="22">
        <f>INDEX(Notes!$I$2:$N$11,MATCH(Notes!$B$2,Notes!$I$2:$I$11,0),6)*$E10</f>
        <v>1053933</v>
      </c>
      <c r="M10" s="22">
        <f>IF(Notes!$B$2="June",'Payment Total'!$F10,0)</f>
        <v>351312</v>
      </c>
      <c r="N10" s="22">
        <f t="shared" si="0"/>
        <v>0</v>
      </c>
      <c r="P10" s="21">
        <v>630000</v>
      </c>
      <c r="Q10" s="21">
        <v>351312</v>
      </c>
      <c r="R10" s="21" t="str">
        <f t="shared" si="1"/>
        <v>0063</v>
      </c>
      <c r="S10" s="44" t="str">
        <f t="shared" si="2"/>
        <v>0063</v>
      </c>
      <c r="T10" s="20">
        <f t="shared" si="3"/>
        <v>0</v>
      </c>
      <c r="V10" s="20" t="s">
        <v>816</v>
      </c>
      <c r="W10" s="21">
        <v>351312</v>
      </c>
      <c r="X10" s="21" t="str">
        <f t="shared" si="4"/>
        <v>0063</v>
      </c>
      <c r="Y10" s="44" t="str">
        <f t="shared" si="5"/>
        <v>0063</v>
      </c>
      <c r="Z10" s="45">
        <f t="shared" si="6"/>
        <v>0</v>
      </c>
    </row>
    <row r="11" spans="1:29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97240</v>
      </c>
      <c r="D11" s="164">
        <f>INDEX(Data[],MATCH($A11,Data[Dist],0),MATCH(D$6,Data[#Headers],0))</f>
        <v>96348</v>
      </c>
      <c r="E11" s="164">
        <f>INDEX(Data[],MATCH($A11,Data[Dist],0),MATCH(E$6,Data[#Headers],0))</f>
        <v>94923</v>
      </c>
      <c r="F11" s="164">
        <f>INDEX(Data[],MATCH($A11,Data[Dist],0),MATCH(F$6,Data[#Headers],0))</f>
        <v>94924</v>
      </c>
      <c r="G11" s="22">
        <f>INDEX(Data[],MATCH($A11,Data[Dist],0),MATCH(G$6,Data[#Headers],0))</f>
        <v>961349</v>
      </c>
      <c r="H11" s="22">
        <f>INDEX(Data[],MATCH($A11,Data[Dist],0),MATCH(H$6,Data[#Headers],0))-G11</f>
        <v>0</v>
      </c>
      <c r="I11" s="23"/>
      <c r="J11" s="22">
        <f>INDEX(Notes!$I$2:$N$11,MATCH(Notes!$B$2,Notes!$I$2:$I$11,0),4)*$C11</f>
        <v>388960</v>
      </c>
      <c r="K11" s="22">
        <f>INDEX(Notes!$I$2:$N$11,MATCH(Notes!$B$2,Notes!$I$2:$I$11,0),5)*$D11</f>
        <v>192696</v>
      </c>
      <c r="L11" s="22">
        <f>INDEX(Notes!$I$2:$N$11,MATCH(Notes!$B$2,Notes!$I$2:$I$11,0),6)*$E11</f>
        <v>284769</v>
      </c>
      <c r="M11" s="22">
        <f>IF(Notes!$B$2="June",'Payment Total'!$F11,0)</f>
        <v>94924</v>
      </c>
      <c r="N11" s="22">
        <f t="shared" si="0"/>
        <v>0</v>
      </c>
      <c r="P11" s="21">
        <v>720000</v>
      </c>
      <c r="Q11" s="21">
        <v>94924</v>
      </c>
      <c r="R11" s="21" t="str">
        <f t="shared" si="1"/>
        <v>0072</v>
      </c>
      <c r="S11" s="44" t="str">
        <f t="shared" si="2"/>
        <v>0072</v>
      </c>
      <c r="T11" s="20">
        <f t="shared" si="3"/>
        <v>0</v>
      </c>
      <c r="V11" s="20" t="s">
        <v>817</v>
      </c>
      <c r="W11" s="21">
        <v>94924</v>
      </c>
      <c r="X11" s="21" t="str">
        <f t="shared" si="4"/>
        <v>0072</v>
      </c>
      <c r="Y11" s="44" t="str">
        <f t="shared" si="5"/>
        <v>0072</v>
      </c>
      <c r="Z11" s="45">
        <f t="shared" si="6"/>
        <v>0</v>
      </c>
    </row>
    <row r="12" spans="1:29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791532</v>
      </c>
      <c r="D12" s="164">
        <f>INDEX(Data[],MATCH($A12,Data[Dist],0),MATCH(D$6,Data[#Headers],0))</f>
        <v>786608</v>
      </c>
      <c r="E12" s="164">
        <f>INDEX(Data[],MATCH($A12,Data[Dist],0),MATCH(E$6,Data[#Headers],0))</f>
        <v>784609</v>
      </c>
      <c r="F12" s="164">
        <f>INDEX(Data[],MATCH($A12,Data[Dist],0),MATCH(F$6,Data[#Headers],0))</f>
        <v>784610</v>
      </c>
      <c r="G12" s="22">
        <f>INDEX(Data[],MATCH($A12,Data[Dist],0),MATCH(G$6,Data[#Headers],0))</f>
        <v>7877781</v>
      </c>
      <c r="H12" s="22">
        <f>INDEX(Data[],MATCH($A12,Data[Dist],0),MATCH(H$6,Data[#Headers],0))-G12</f>
        <v>0</v>
      </c>
      <c r="I12" s="23"/>
      <c r="J12" s="22">
        <f>INDEX(Notes!$I$2:$N$11,MATCH(Notes!$B$2,Notes!$I$2:$I$11,0),4)*$C12</f>
        <v>3166128</v>
      </c>
      <c r="K12" s="22">
        <f>INDEX(Notes!$I$2:$N$11,MATCH(Notes!$B$2,Notes!$I$2:$I$11,0),5)*$D12</f>
        <v>1573216</v>
      </c>
      <c r="L12" s="22">
        <f>INDEX(Notes!$I$2:$N$11,MATCH(Notes!$B$2,Notes!$I$2:$I$11,0),6)*$E12</f>
        <v>2353827</v>
      </c>
      <c r="M12" s="22">
        <f>IF(Notes!$B$2="June",'Payment Total'!$F12,0)</f>
        <v>784610</v>
      </c>
      <c r="N12" s="22">
        <f t="shared" si="0"/>
        <v>0</v>
      </c>
      <c r="P12" s="21">
        <v>810000</v>
      </c>
      <c r="Q12" s="21">
        <v>784610</v>
      </c>
      <c r="R12" s="21" t="str">
        <f t="shared" si="1"/>
        <v>0081</v>
      </c>
      <c r="S12" s="44" t="str">
        <f t="shared" si="2"/>
        <v>0081</v>
      </c>
      <c r="T12" s="20">
        <f t="shared" si="3"/>
        <v>0</v>
      </c>
      <c r="V12" s="20" t="s">
        <v>818</v>
      </c>
      <c r="W12" s="21">
        <v>784610</v>
      </c>
      <c r="X12" s="21" t="str">
        <f t="shared" si="4"/>
        <v>0081</v>
      </c>
      <c r="Y12" s="44" t="str">
        <f t="shared" si="5"/>
        <v>0081</v>
      </c>
      <c r="Z12" s="45">
        <f t="shared" si="6"/>
        <v>0</v>
      </c>
    </row>
    <row r="13" spans="1:29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299476</v>
      </c>
      <c r="D13" s="164">
        <f>INDEX(Data[],MATCH($A13,Data[Dist],0),MATCH(D$6,Data[#Headers],0))</f>
        <v>297290</v>
      </c>
      <c r="E13" s="164">
        <f>INDEX(Data[],MATCH($A13,Data[Dist],0),MATCH(E$6,Data[#Headers],0))</f>
        <v>297290</v>
      </c>
      <c r="F13" s="164">
        <f>INDEX(Data[],MATCH($A13,Data[Dist],0),MATCH(F$6,Data[#Headers],0))</f>
        <v>297289</v>
      </c>
      <c r="G13" s="22">
        <f>INDEX(Data[],MATCH($A13,Data[Dist],0),MATCH(G$6,Data[#Headers],0))</f>
        <v>2981643</v>
      </c>
      <c r="H13" s="22">
        <f>INDEX(Data[],MATCH($A13,Data[Dist],0),MATCH(H$6,Data[#Headers],0))-G13</f>
        <v>0</v>
      </c>
      <c r="I13" s="23"/>
      <c r="J13" s="22">
        <f>INDEX(Notes!$I$2:$N$11,MATCH(Notes!$B$2,Notes!$I$2:$I$11,0),4)*$C13</f>
        <v>1197904</v>
      </c>
      <c r="K13" s="22">
        <f>INDEX(Notes!$I$2:$N$11,MATCH(Notes!$B$2,Notes!$I$2:$I$11,0),5)*$D13</f>
        <v>594580</v>
      </c>
      <c r="L13" s="22">
        <f>INDEX(Notes!$I$2:$N$11,MATCH(Notes!$B$2,Notes!$I$2:$I$11,0),6)*$E13</f>
        <v>891870</v>
      </c>
      <c r="M13" s="22">
        <f>IF(Notes!$B$2="June",'Payment Total'!$F13,0)</f>
        <v>297289</v>
      </c>
      <c r="N13" s="22">
        <f t="shared" si="0"/>
        <v>0</v>
      </c>
      <c r="P13" s="21">
        <v>990000</v>
      </c>
      <c r="Q13" s="21">
        <v>297289</v>
      </c>
      <c r="R13" s="21" t="str">
        <f t="shared" si="1"/>
        <v>0099</v>
      </c>
      <c r="S13" s="44" t="str">
        <f t="shared" si="2"/>
        <v>0099</v>
      </c>
      <c r="T13" s="20">
        <f t="shared" si="3"/>
        <v>0</v>
      </c>
      <c r="V13" s="20" t="s">
        <v>819</v>
      </c>
      <c r="W13" s="21">
        <v>297289</v>
      </c>
      <c r="X13" s="21" t="str">
        <f t="shared" si="4"/>
        <v>0099</v>
      </c>
      <c r="Y13" s="44" t="str">
        <f t="shared" si="5"/>
        <v>0099</v>
      </c>
      <c r="Z13" s="45">
        <f t="shared" si="6"/>
        <v>0</v>
      </c>
    </row>
    <row r="14" spans="1:29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153098</v>
      </c>
      <c r="D14" s="164">
        <f>INDEX(Data[],MATCH($A14,Data[Dist],0),MATCH(D$6,Data[#Headers],0))</f>
        <v>151979</v>
      </c>
      <c r="E14" s="164">
        <f>INDEX(Data[],MATCH($A14,Data[Dist],0),MATCH(E$6,Data[#Headers],0))</f>
        <v>151979</v>
      </c>
      <c r="F14" s="164">
        <f>INDEX(Data[],MATCH($A14,Data[Dist],0),MATCH(F$6,Data[#Headers],0))</f>
        <v>151980</v>
      </c>
      <c r="G14" s="22">
        <f>INDEX(Data[],MATCH($A14,Data[Dist],0),MATCH(G$6,Data[#Headers],0))</f>
        <v>1524267</v>
      </c>
      <c r="H14" s="22">
        <f>INDEX(Data[],MATCH($A14,Data[Dist],0),MATCH(H$6,Data[#Headers],0))-G14</f>
        <v>0</v>
      </c>
      <c r="I14" s="23"/>
      <c r="J14" s="22">
        <f>INDEX(Notes!$I$2:$N$11,MATCH(Notes!$B$2,Notes!$I$2:$I$11,0),4)*$C14</f>
        <v>612392</v>
      </c>
      <c r="K14" s="22">
        <f>INDEX(Notes!$I$2:$N$11,MATCH(Notes!$B$2,Notes!$I$2:$I$11,0),5)*$D14</f>
        <v>303958</v>
      </c>
      <c r="L14" s="22">
        <f>INDEX(Notes!$I$2:$N$11,MATCH(Notes!$B$2,Notes!$I$2:$I$11,0),6)*$E14</f>
        <v>455937</v>
      </c>
      <c r="M14" s="22">
        <f>IF(Notes!$B$2="June",'Payment Total'!$F14,0)</f>
        <v>151980</v>
      </c>
      <c r="N14" s="22">
        <f t="shared" si="0"/>
        <v>0</v>
      </c>
      <c r="P14" s="21">
        <v>1080000</v>
      </c>
      <c r="Q14" s="21">
        <v>151980</v>
      </c>
      <c r="R14" s="21" t="str">
        <f t="shared" si="1"/>
        <v>0108</v>
      </c>
      <c r="S14" s="44" t="str">
        <f t="shared" si="2"/>
        <v>0108</v>
      </c>
      <c r="T14" s="20">
        <f t="shared" si="3"/>
        <v>0</v>
      </c>
      <c r="V14" s="20" t="s">
        <v>820</v>
      </c>
      <c r="W14" s="21">
        <v>151980</v>
      </c>
      <c r="X14" s="21" t="str">
        <f t="shared" si="4"/>
        <v>0108</v>
      </c>
      <c r="Y14" s="44" t="str">
        <f t="shared" si="5"/>
        <v>0108</v>
      </c>
      <c r="Z14" s="45">
        <f t="shared" si="6"/>
        <v>0</v>
      </c>
    </row>
    <row r="15" spans="1:29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661972</v>
      </c>
      <c r="D15" s="164">
        <f>INDEX(Data[],MATCH($A15,Data[Dist],0),MATCH(D$6,Data[#Headers],0))</f>
        <v>656493</v>
      </c>
      <c r="E15" s="164">
        <f>INDEX(Data[],MATCH($A15,Data[Dist],0),MATCH(E$6,Data[#Headers],0))</f>
        <v>656492</v>
      </c>
      <c r="F15" s="164">
        <f>INDEX(Data[],MATCH($A15,Data[Dist],0),MATCH(F$6,Data[#Headers],0))</f>
        <v>656493</v>
      </c>
      <c r="G15" s="22">
        <f>INDEX(Data[],MATCH($A15,Data[Dist],0),MATCH(G$6,Data[#Headers],0))</f>
        <v>6586843</v>
      </c>
      <c r="H15" s="22">
        <f>INDEX(Data[],MATCH($A15,Data[Dist],0),MATCH(H$6,Data[#Headers],0))-G15</f>
        <v>0</v>
      </c>
      <c r="I15" s="23"/>
      <c r="J15" s="22">
        <f>INDEX(Notes!$I$2:$N$11,MATCH(Notes!$B$2,Notes!$I$2:$I$11,0),4)*$C15</f>
        <v>2647888</v>
      </c>
      <c r="K15" s="22">
        <f>INDEX(Notes!$I$2:$N$11,MATCH(Notes!$B$2,Notes!$I$2:$I$11,0),5)*$D15</f>
        <v>1312986</v>
      </c>
      <c r="L15" s="22">
        <f>INDEX(Notes!$I$2:$N$11,MATCH(Notes!$B$2,Notes!$I$2:$I$11,0),6)*$E15</f>
        <v>1969476</v>
      </c>
      <c r="M15" s="22">
        <f>IF(Notes!$B$2="June",'Payment Total'!$F15,0)</f>
        <v>656493</v>
      </c>
      <c r="N15" s="22">
        <f t="shared" si="0"/>
        <v>0</v>
      </c>
      <c r="P15" s="21">
        <v>1260000</v>
      </c>
      <c r="Q15" s="21">
        <v>656493</v>
      </c>
      <c r="R15" s="21" t="str">
        <f t="shared" si="1"/>
        <v>0126</v>
      </c>
      <c r="S15" s="44" t="str">
        <f t="shared" si="2"/>
        <v>0126</v>
      </c>
      <c r="T15" s="20">
        <f t="shared" si="3"/>
        <v>0</v>
      </c>
      <c r="V15" s="20" t="s">
        <v>821</v>
      </c>
      <c r="W15" s="21">
        <v>656493</v>
      </c>
      <c r="X15" s="21" t="str">
        <f t="shared" si="4"/>
        <v>0126</v>
      </c>
      <c r="Y15" s="44" t="str">
        <f t="shared" si="5"/>
        <v>0126</v>
      </c>
      <c r="Z15" s="45">
        <f t="shared" si="6"/>
        <v>0</v>
      </c>
    </row>
    <row r="16" spans="1:29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592673</v>
      </c>
      <c r="D16" s="164">
        <f>INDEX(Data[],MATCH($A16,Data[Dist],0),MATCH(D$6,Data[#Headers],0))</f>
        <v>588118</v>
      </c>
      <c r="E16" s="164">
        <f>INDEX(Data[],MATCH($A16,Data[Dist],0),MATCH(E$6,Data[#Headers],0))</f>
        <v>588118</v>
      </c>
      <c r="F16" s="164">
        <f>INDEX(Data[],MATCH($A16,Data[Dist],0),MATCH(F$6,Data[#Headers],0))</f>
        <v>588117</v>
      </c>
      <c r="G16" s="22">
        <f>INDEX(Data[],MATCH($A16,Data[Dist],0),MATCH(G$6,Data[#Headers],0))</f>
        <v>5899399</v>
      </c>
      <c r="H16" s="22">
        <f>INDEX(Data[],MATCH($A16,Data[Dist],0),MATCH(H$6,Data[#Headers],0))-G16</f>
        <v>0</v>
      </c>
      <c r="I16" s="23"/>
      <c r="J16" s="22">
        <f>INDEX(Notes!$I$2:$N$11,MATCH(Notes!$B$2,Notes!$I$2:$I$11,0),4)*$C16</f>
        <v>2370692</v>
      </c>
      <c r="K16" s="22">
        <f>INDEX(Notes!$I$2:$N$11,MATCH(Notes!$B$2,Notes!$I$2:$I$11,0),5)*$D16</f>
        <v>1176236</v>
      </c>
      <c r="L16" s="22">
        <f>INDEX(Notes!$I$2:$N$11,MATCH(Notes!$B$2,Notes!$I$2:$I$11,0),6)*$E16</f>
        <v>1764354</v>
      </c>
      <c r="M16" s="22">
        <f>IF(Notes!$B$2="June",'Payment Total'!$F16,0)</f>
        <v>588117</v>
      </c>
      <c r="N16" s="22">
        <f t="shared" si="0"/>
        <v>0</v>
      </c>
      <c r="P16" s="21">
        <v>1350000</v>
      </c>
      <c r="Q16" s="21">
        <v>588117</v>
      </c>
      <c r="R16" s="21" t="str">
        <f t="shared" si="1"/>
        <v>0135</v>
      </c>
      <c r="S16" s="44" t="str">
        <f t="shared" si="2"/>
        <v>0135</v>
      </c>
      <c r="T16" s="20">
        <f t="shared" si="3"/>
        <v>0</v>
      </c>
      <c r="V16" s="20" t="s">
        <v>822</v>
      </c>
      <c r="W16" s="21">
        <v>588117</v>
      </c>
      <c r="X16" s="21" t="str">
        <f t="shared" si="4"/>
        <v>0135</v>
      </c>
      <c r="Y16" s="44" t="str">
        <f t="shared" si="5"/>
        <v>0135</v>
      </c>
      <c r="Z16" s="45">
        <f t="shared" si="6"/>
        <v>0</v>
      </c>
    </row>
    <row r="17" spans="1:26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333273</v>
      </c>
      <c r="D17" s="164">
        <f>INDEX(Data[],MATCH($A17,Data[Dist],0),MATCH(D$6,Data[#Headers],0))</f>
        <v>330834</v>
      </c>
      <c r="E17" s="164">
        <f>INDEX(Data[],MATCH($A17,Data[Dist],0),MATCH(E$6,Data[#Headers],0))</f>
        <v>330834</v>
      </c>
      <c r="F17" s="164">
        <f>INDEX(Data[],MATCH($A17,Data[Dist],0),MATCH(F$6,Data[#Headers],0))</f>
        <v>330834</v>
      </c>
      <c r="G17" s="22">
        <f>INDEX(Data[],MATCH($A17,Data[Dist],0),MATCH(G$6,Data[#Headers],0))</f>
        <v>3318096</v>
      </c>
      <c r="H17" s="22">
        <f>INDEX(Data[],MATCH($A17,Data[Dist],0),MATCH(H$6,Data[#Headers],0))-G17</f>
        <v>0</v>
      </c>
      <c r="I17" s="23"/>
      <c r="J17" s="22">
        <f>INDEX(Notes!$I$2:$N$11,MATCH(Notes!$B$2,Notes!$I$2:$I$11,0),4)*$C17</f>
        <v>1333092</v>
      </c>
      <c r="K17" s="22">
        <f>INDEX(Notes!$I$2:$N$11,MATCH(Notes!$B$2,Notes!$I$2:$I$11,0),5)*$D17</f>
        <v>661668</v>
      </c>
      <c r="L17" s="22">
        <f>INDEX(Notes!$I$2:$N$11,MATCH(Notes!$B$2,Notes!$I$2:$I$11,0),6)*$E17</f>
        <v>992502</v>
      </c>
      <c r="M17" s="22">
        <f>IF(Notes!$B$2="June",'Payment Total'!$F17,0)</f>
        <v>330834</v>
      </c>
      <c r="N17" s="22">
        <f t="shared" si="0"/>
        <v>0</v>
      </c>
      <c r="P17" s="21">
        <v>1530000</v>
      </c>
      <c r="Q17" s="21">
        <v>330834</v>
      </c>
      <c r="R17" s="21" t="str">
        <f t="shared" si="1"/>
        <v>0153</v>
      </c>
      <c r="S17" s="44" t="str">
        <f t="shared" si="2"/>
        <v>0153</v>
      </c>
      <c r="T17" s="20">
        <f t="shared" si="3"/>
        <v>0</v>
      </c>
      <c r="V17" s="20" t="s">
        <v>1015</v>
      </c>
      <c r="W17" s="21">
        <v>330834</v>
      </c>
      <c r="X17" s="21" t="str">
        <f t="shared" si="4"/>
        <v>0153</v>
      </c>
      <c r="Y17" s="44" t="str">
        <f t="shared" si="5"/>
        <v>0153</v>
      </c>
      <c r="Z17" s="45">
        <f t="shared" si="6"/>
        <v>0</v>
      </c>
    </row>
    <row r="18" spans="1:26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486505</v>
      </c>
      <c r="D18" s="164">
        <f>INDEX(Data[],MATCH($A18,Data[Dist],0),MATCH(D$6,Data[#Headers],0))</f>
        <v>483278</v>
      </c>
      <c r="E18" s="164">
        <f>INDEX(Data[],MATCH($A18,Data[Dist],0),MATCH(E$6,Data[#Headers],0))</f>
        <v>483278</v>
      </c>
      <c r="F18" s="164">
        <f>INDEX(Data[],MATCH($A18,Data[Dist],0),MATCH(F$6,Data[#Headers],0))</f>
        <v>483279</v>
      </c>
      <c r="G18" s="22">
        <f>INDEX(Data[],MATCH($A18,Data[Dist],0),MATCH(G$6,Data[#Headers],0))</f>
        <v>4845689</v>
      </c>
      <c r="H18" s="22">
        <f>INDEX(Data[],MATCH($A18,Data[Dist],0),MATCH(H$6,Data[#Headers],0))-G18</f>
        <v>0</v>
      </c>
      <c r="I18" s="23"/>
      <c r="J18" s="22">
        <f>INDEX(Notes!$I$2:$N$11,MATCH(Notes!$B$2,Notes!$I$2:$I$11,0),4)*$C18</f>
        <v>1946020</v>
      </c>
      <c r="K18" s="22">
        <f>INDEX(Notes!$I$2:$N$11,MATCH(Notes!$B$2,Notes!$I$2:$I$11,0),5)*$D18</f>
        <v>966556</v>
      </c>
      <c r="L18" s="22">
        <f>INDEX(Notes!$I$2:$N$11,MATCH(Notes!$B$2,Notes!$I$2:$I$11,0),6)*$E18</f>
        <v>1449834</v>
      </c>
      <c r="M18" s="22">
        <f>IF(Notes!$B$2="June",'Payment Total'!$F18,0)</f>
        <v>483279</v>
      </c>
      <c r="N18" s="22">
        <f t="shared" si="0"/>
        <v>0</v>
      </c>
      <c r="P18" s="21">
        <v>1710000</v>
      </c>
      <c r="Q18" s="21">
        <v>483279</v>
      </c>
      <c r="R18" s="21" t="str">
        <f t="shared" si="1"/>
        <v>0171</v>
      </c>
      <c r="S18" s="44" t="str">
        <f t="shared" si="2"/>
        <v>0171</v>
      </c>
      <c r="T18" s="20">
        <f t="shared" si="3"/>
        <v>0</v>
      </c>
      <c r="V18" s="20" t="s">
        <v>823</v>
      </c>
      <c r="W18" s="21">
        <v>483279</v>
      </c>
      <c r="X18" s="21" t="str">
        <f t="shared" si="4"/>
        <v>0171</v>
      </c>
      <c r="Y18" s="44" t="str">
        <f t="shared" si="5"/>
        <v>0171</v>
      </c>
      <c r="Z18" s="45">
        <f t="shared" si="6"/>
        <v>0</v>
      </c>
    </row>
    <row r="19" spans="1:26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1822441</v>
      </c>
      <c r="D19" s="164">
        <f>INDEX(Data[],MATCH($A19,Data[Dist],0),MATCH(D$6,Data[#Headers],0))</f>
        <v>1804541</v>
      </c>
      <c r="E19" s="164">
        <f>INDEX(Data[],MATCH($A19,Data[Dist],0),MATCH(E$6,Data[#Headers],0))</f>
        <v>1804541</v>
      </c>
      <c r="F19" s="164">
        <f>INDEX(Data[],MATCH($A19,Data[Dist],0),MATCH(F$6,Data[#Headers],0))</f>
        <v>1804541</v>
      </c>
      <c r="G19" s="22">
        <f>INDEX(Data[],MATCH($A19,Data[Dist],0),MATCH(G$6,Data[#Headers],0))</f>
        <v>18117010</v>
      </c>
      <c r="H19" s="22">
        <f>INDEX(Data[],MATCH($A19,Data[Dist],0),MATCH(H$6,Data[#Headers],0))-G19</f>
        <v>0</v>
      </c>
      <c r="I19" s="23"/>
      <c r="J19" s="22">
        <f>INDEX(Notes!$I$2:$N$11,MATCH(Notes!$B$2,Notes!$I$2:$I$11,0),4)*$C19</f>
        <v>7289764</v>
      </c>
      <c r="K19" s="22">
        <f>INDEX(Notes!$I$2:$N$11,MATCH(Notes!$B$2,Notes!$I$2:$I$11,0),5)*$D19</f>
        <v>3609082</v>
      </c>
      <c r="L19" s="22">
        <f>INDEX(Notes!$I$2:$N$11,MATCH(Notes!$B$2,Notes!$I$2:$I$11,0),6)*$E19</f>
        <v>5413623</v>
      </c>
      <c r="M19" s="22">
        <f>IF(Notes!$B$2="June",'Payment Total'!$F19,0)</f>
        <v>1804541</v>
      </c>
      <c r="N19" s="22">
        <f t="shared" si="0"/>
        <v>0</v>
      </c>
      <c r="P19" s="21">
        <v>2250000</v>
      </c>
      <c r="Q19" s="21">
        <v>1804541</v>
      </c>
      <c r="R19" s="21" t="str">
        <f t="shared" si="1"/>
        <v>0225</v>
      </c>
      <c r="S19" s="44" t="str">
        <f t="shared" si="2"/>
        <v>0225</v>
      </c>
      <c r="T19" s="20">
        <f t="shared" si="3"/>
        <v>0</v>
      </c>
      <c r="V19" s="20" t="s">
        <v>824</v>
      </c>
      <c r="W19" s="21">
        <v>1804541</v>
      </c>
      <c r="X19" s="21" t="str">
        <f t="shared" si="4"/>
        <v>0225</v>
      </c>
      <c r="Y19" s="44" t="str">
        <f t="shared" si="5"/>
        <v>0225</v>
      </c>
      <c r="Z19" s="45">
        <f t="shared" si="6"/>
        <v>0</v>
      </c>
    </row>
    <row r="20" spans="1:26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789149</v>
      </c>
      <c r="D20" s="164">
        <f>INDEX(Data[],MATCH($A20,Data[Dist],0),MATCH(D$6,Data[#Headers],0))</f>
        <v>783828</v>
      </c>
      <c r="E20" s="164">
        <f>INDEX(Data[],MATCH($A20,Data[Dist],0),MATCH(E$6,Data[#Headers],0))</f>
        <v>783828</v>
      </c>
      <c r="F20" s="164">
        <f>INDEX(Data[],MATCH($A20,Data[Dist],0),MATCH(F$6,Data[#Headers],0))</f>
        <v>783826</v>
      </c>
      <c r="G20" s="22">
        <f>INDEX(Data[],MATCH($A20,Data[Dist],0),MATCH(G$6,Data[#Headers],0))</f>
        <v>7859562</v>
      </c>
      <c r="H20" s="22">
        <f>INDEX(Data[],MATCH($A20,Data[Dist],0),MATCH(H$6,Data[#Headers],0))-G20</f>
        <v>0</v>
      </c>
      <c r="I20" s="23"/>
      <c r="J20" s="22">
        <f>INDEX(Notes!$I$2:$N$11,MATCH(Notes!$B$2,Notes!$I$2:$I$11,0),4)*$C20</f>
        <v>3156596</v>
      </c>
      <c r="K20" s="22">
        <f>INDEX(Notes!$I$2:$N$11,MATCH(Notes!$B$2,Notes!$I$2:$I$11,0),5)*$D20</f>
        <v>1567656</v>
      </c>
      <c r="L20" s="22">
        <f>INDEX(Notes!$I$2:$N$11,MATCH(Notes!$B$2,Notes!$I$2:$I$11,0),6)*$E20</f>
        <v>2351484</v>
      </c>
      <c r="M20" s="22">
        <f>IF(Notes!$B$2="June",'Payment Total'!$F20,0)</f>
        <v>783826</v>
      </c>
      <c r="N20" s="22">
        <f t="shared" si="0"/>
        <v>0</v>
      </c>
      <c r="P20" s="21">
        <v>2340000</v>
      </c>
      <c r="Q20" s="21">
        <v>783826</v>
      </c>
      <c r="R20" s="21" t="str">
        <f t="shared" si="1"/>
        <v>0234</v>
      </c>
      <c r="S20" s="44" t="str">
        <f t="shared" si="2"/>
        <v>0234</v>
      </c>
      <c r="T20" s="20">
        <f t="shared" si="3"/>
        <v>0</v>
      </c>
      <c r="V20" s="20" t="s">
        <v>825</v>
      </c>
      <c r="W20" s="21">
        <v>783826</v>
      </c>
      <c r="X20" s="21" t="str">
        <f t="shared" si="4"/>
        <v>0234</v>
      </c>
      <c r="Y20" s="44" t="str">
        <f t="shared" si="5"/>
        <v>0234</v>
      </c>
      <c r="Z20" s="45">
        <f t="shared" si="6"/>
        <v>0</v>
      </c>
    </row>
    <row r="21" spans="1:26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141345</v>
      </c>
      <c r="D21" s="164">
        <f>INDEX(Data[],MATCH($A21,Data[Dist],0),MATCH(D$6,Data[#Headers],0))</f>
        <v>140353</v>
      </c>
      <c r="E21" s="164">
        <f>INDEX(Data[],MATCH($A21,Data[Dist],0),MATCH(E$6,Data[#Headers],0))</f>
        <v>140353</v>
      </c>
      <c r="F21" s="164">
        <f>INDEX(Data[],MATCH($A21,Data[Dist],0),MATCH(F$6,Data[#Headers],0))</f>
        <v>140353</v>
      </c>
      <c r="G21" s="22">
        <f>INDEX(Data[],MATCH($A21,Data[Dist],0),MATCH(G$6,Data[#Headers],0))</f>
        <v>1407498</v>
      </c>
      <c r="H21" s="22">
        <f>INDEX(Data[],MATCH($A21,Data[Dist],0),MATCH(H$6,Data[#Headers],0))-G21</f>
        <v>0</v>
      </c>
      <c r="I21" s="23"/>
      <c r="J21" s="22">
        <f>INDEX(Notes!$I$2:$N$11,MATCH(Notes!$B$2,Notes!$I$2:$I$11,0),4)*$C21</f>
        <v>565380</v>
      </c>
      <c r="K21" s="22">
        <f>INDEX(Notes!$I$2:$N$11,MATCH(Notes!$B$2,Notes!$I$2:$I$11,0),5)*$D21</f>
        <v>280706</v>
      </c>
      <c r="L21" s="22">
        <f>INDEX(Notes!$I$2:$N$11,MATCH(Notes!$B$2,Notes!$I$2:$I$11,0),6)*$E21</f>
        <v>421059</v>
      </c>
      <c r="M21" s="22">
        <f>IF(Notes!$B$2="June",'Payment Total'!$F21,0)</f>
        <v>140353</v>
      </c>
      <c r="N21" s="22">
        <f t="shared" si="0"/>
        <v>0</v>
      </c>
      <c r="P21" s="21">
        <v>2430000</v>
      </c>
      <c r="Q21" s="21">
        <v>140353</v>
      </c>
      <c r="R21" s="21" t="str">
        <f t="shared" si="1"/>
        <v>0243</v>
      </c>
      <c r="S21" s="44" t="str">
        <f t="shared" si="2"/>
        <v>0243</v>
      </c>
      <c r="T21" s="20">
        <f t="shared" si="3"/>
        <v>0</v>
      </c>
      <c r="V21" s="20" t="s">
        <v>826</v>
      </c>
      <c r="W21" s="21">
        <v>140353</v>
      </c>
      <c r="X21" s="21" t="str">
        <f t="shared" si="4"/>
        <v>0243</v>
      </c>
      <c r="Y21" s="44" t="str">
        <f t="shared" si="5"/>
        <v>0243</v>
      </c>
      <c r="Z21" s="45">
        <f t="shared" si="6"/>
        <v>0</v>
      </c>
    </row>
    <row r="22" spans="1:26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6702199</v>
      </c>
      <c r="D22" s="164">
        <f>INDEX(Data[],MATCH($A22,Data[Dist],0),MATCH(D$6,Data[#Headers],0))</f>
        <v>6654120</v>
      </c>
      <c r="E22" s="164">
        <f>INDEX(Data[],MATCH($A22,Data[Dist],0),MATCH(E$6,Data[#Headers],0))</f>
        <v>6654120</v>
      </c>
      <c r="F22" s="164">
        <f>INDEX(Data[],MATCH($A22,Data[Dist],0),MATCH(F$6,Data[#Headers],0))</f>
        <v>6654118</v>
      </c>
      <c r="G22" s="22">
        <f>INDEX(Data[],MATCH($A22,Data[Dist],0),MATCH(G$6,Data[#Headers],0))</f>
        <v>66733514</v>
      </c>
      <c r="H22" s="22">
        <f>INDEX(Data[],MATCH($A22,Data[Dist],0),MATCH(H$6,Data[#Headers],0))-G22</f>
        <v>0</v>
      </c>
      <c r="I22" s="25"/>
      <c r="J22" s="22">
        <f>INDEX(Notes!$I$2:$N$11,MATCH(Notes!$B$2,Notes!$I$2:$I$11,0),4)*$C22</f>
        <v>26808796</v>
      </c>
      <c r="K22" s="22">
        <f>INDEX(Notes!$I$2:$N$11,MATCH(Notes!$B$2,Notes!$I$2:$I$11,0),5)*$D22</f>
        <v>13308240</v>
      </c>
      <c r="L22" s="22">
        <f>INDEX(Notes!$I$2:$N$11,MATCH(Notes!$B$2,Notes!$I$2:$I$11,0),6)*$E22</f>
        <v>19962360</v>
      </c>
      <c r="M22" s="22">
        <f>IF(Notes!$B$2="June",'Payment Total'!$F22,0)</f>
        <v>6654118</v>
      </c>
      <c r="N22" s="22">
        <f t="shared" si="0"/>
        <v>0</v>
      </c>
      <c r="P22" s="26">
        <v>2610000</v>
      </c>
      <c r="Q22" s="26">
        <v>6654118</v>
      </c>
      <c r="R22" s="21" t="str">
        <f t="shared" si="1"/>
        <v>0261</v>
      </c>
      <c r="S22" s="44" t="str">
        <f t="shared" si="2"/>
        <v>0261</v>
      </c>
      <c r="T22" s="20">
        <f t="shared" si="3"/>
        <v>0</v>
      </c>
      <c r="V22" s="46" t="s">
        <v>827</v>
      </c>
      <c r="W22" s="26">
        <v>6654118</v>
      </c>
      <c r="X22" s="21" t="str">
        <f t="shared" si="4"/>
        <v>0261</v>
      </c>
      <c r="Y22" s="44" t="str">
        <f t="shared" si="5"/>
        <v>0261</v>
      </c>
      <c r="Z22" s="45">
        <f t="shared" si="6"/>
        <v>0</v>
      </c>
    </row>
    <row r="23" spans="1:26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500773</v>
      </c>
      <c r="D23" s="164">
        <f>INDEX(Data[],MATCH($A23,Data[Dist],0),MATCH(D$6,Data[#Headers],0))</f>
        <v>497340</v>
      </c>
      <c r="E23" s="164">
        <f>INDEX(Data[],MATCH($A23,Data[Dist],0),MATCH(E$6,Data[#Headers],0))</f>
        <v>497340</v>
      </c>
      <c r="F23" s="164">
        <f>INDEX(Data[],MATCH($A23,Data[Dist],0),MATCH(F$6,Data[#Headers],0))</f>
        <v>497339</v>
      </c>
      <c r="G23" s="22">
        <f>INDEX(Data[],MATCH($A23,Data[Dist],0),MATCH(G$6,Data[#Headers],0))</f>
        <v>4987131</v>
      </c>
      <c r="H23" s="22">
        <f>INDEX(Data[],MATCH($A23,Data[Dist],0),MATCH(H$6,Data[#Headers],0))-G23</f>
        <v>0</v>
      </c>
      <c r="I23" s="25"/>
      <c r="J23" s="22">
        <f>INDEX(Notes!$I$2:$N$11,MATCH(Notes!$B$2,Notes!$I$2:$I$11,0),4)*$C23</f>
        <v>2003092</v>
      </c>
      <c r="K23" s="22">
        <f>INDEX(Notes!$I$2:$N$11,MATCH(Notes!$B$2,Notes!$I$2:$I$11,0),5)*$D23</f>
        <v>994680</v>
      </c>
      <c r="L23" s="22">
        <f>INDEX(Notes!$I$2:$N$11,MATCH(Notes!$B$2,Notes!$I$2:$I$11,0),6)*$E23</f>
        <v>1492020</v>
      </c>
      <c r="M23" s="22">
        <f>IF(Notes!$B$2="June",'Payment Total'!$F23,0)</f>
        <v>497339</v>
      </c>
      <c r="N23" s="22">
        <f t="shared" si="0"/>
        <v>0</v>
      </c>
      <c r="P23" s="26">
        <v>2790000</v>
      </c>
      <c r="Q23" s="26">
        <v>497339</v>
      </c>
      <c r="R23" s="21" t="str">
        <f t="shared" si="1"/>
        <v>0279</v>
      </c>
      <c r="S23" s="44" t="str">
        <f t="shared" si="2"/>
        <v>0279</v>
      </c>
      <c r="T23" s="20">
        <f t="shared" si="3"/>
        <v>0</v>
      </c>
      <c r="V23" s="46" t="s">
        <v>828</v>
      </c>
      <c r="W23" s="26">
        <v>497339</v>
      </c>
      <c r="X23" s="21" t="str">
        <f t="shared" si="4"/>
        <v>0279</v>
      </c>
      <c r="Y23" s="44" t="str">
        <f t="shared" si="5"/>
        <v>0279</v>
      </c>
      <c r="Z23" s="45">
        <f t="shared" si="6"/>
        <v>0</v>
      </c>
    </row>
    <row r="24" spans="1:26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148214</v>
      </c>
      <c r="D24" s="164">
        <f>INDEX(Data[],MATCH($A24,Data[Dist],0),MATCH(D$6,Data[#Headers],0))</f>
        <v>146495</v>
      </c>
      <c r="E24" s="164">
        <f>INDEX(Data[],MATCH($A24,Data[Dist],0),MATCH(E$6,Data[#Headers],0))</f>
        <v>146495</v>
      </c>
      <c r="F24" s="164">
        <f>INDEX(Data[],MATCH($A24,Data[Dist],0),MATCH(F$6,Data[#Headers],0))</f>
        <v>146495</v>
      </c>
      <c r="G24" s="22">
        <f>INDEX(Data[],MATCH($A24,Data[Dist],0),MATCH(G$6,Data[#Headers],0))</f>
        <v>1471826</v>
      </c>
      <c r="H24" s="22">
        <f>INDEX(Data[],MATCH($A24,Data[Dist],0),MATCH(H$6,Data[#Headers],0))-G24</f>
        <v>0</v>
      </c>
      <c r="I24" s="25"/>
      <c r="J24" s="22">
        <f>INDEX(Notes!$I$2:$N$11,MATCH(Notes!$B$2,Notes!$I$2:$I$11,0),4)*$C24</f>
        <v>592856</v>
      </c>
      <c r="K24" s="22">
        <f>INDEX(Notes!$I$2:$N$11,MATCH(Notes!$B$2,Notes!$I$2:$I$11,0),5)*$D24</f>
        <v>292990</v>
      </c>
      <c r="L24" s="22">
        <f>INDEX(Notes!$I$2:$N$11,MATCH(Notes!$B$2,Notes!$I$2:$I$11,0),6)*$E24</f>
        <v>439485</v>
      </c>
      <c r="M24" s="22">
        <f>IF(Notes!$B$2="June",'Payment Total'!$F24,0)</f>
        <v>146495</v>
      </c>
      <c r="N24" s="22">
        <f t="shared" si="0"/>
        <v>0</v>
      </c>
      <c r="P24" s="26">
        <v>3330000</v>
      </c>
      <c r="Q24" s="26">
        <v>146495</v>
      </c>
      <c r="R24" s="21" t="str">
        <f t="shared" si="1"/>
        <v>0333</v>
      </c>
      <c r="S24" s="44" t="str">
        <f t="shared" si="2"/>
        <v>0333</v>
      </c>
      <c r="T24" s="20">
        <f t="shared" si="3"/>
        <v>0</v>
      </c>
      <c r="V24" s="46" t="s">
        <v>1025</v>
      </c>
      <c r="W24" s="26">
        <v>146495</v>
      </c>
      <c r="X24" s="21" t="str">
        <f t="shared" si="4"/>
        <v>0333</v>
      </c>
      <c r="Y24" s="44" t="str">
        <f t="shared" si="5"/>
        <v>0333</v>
      </c>
      <c r="Z24" s="45">
        <f t="shared" si="6"/>
        <v>0</v>
      </c>
    </row>
    <row r="25" spans="1:26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102300</v>
      </c>
      <c r="D25" s="164">
        <f>INDEX(Data[],MATCH($A25,Data[Dist],0),MATCH(D$6,Data[#Headers],0))</f>
        <v>101188</v>
      </c>
      <c r="E25" s="164">
        <f>INDEX(Data[],MATCH($A25,Data[Dist],0),MATCH(E$6,Data[#Headers],0))</f>
        <v>101188</v>
      </c>
      <c r="F25" s="164">
        <f>INDEX(Data[],MATCH($A25,Data[Dist],0),MATCH(F$6,Data[#Headers],0))</f>
        <v>101187</v>
      </c>
      <c r="G25" s="22">
        <f>INDEX(Data[],MATCH($A25,Data[Dist],0),MATCH(G$6,Data[#Headers],0))</f>
        <v>1016327</v>
      </c>
      <c r="H25" s="22">
        <f>INDEX(Data[],MATCH($A25,Data[Dist],0),MATCH(H$6,Data[#Headers],0))-G25</f>
        <v>0</v>
      </c>
      <c r="I25" s="25"/>
      <c r="J25" s="22">
        <f>INDEX(Notes!$I$2:$N$11,MATCH(Notes!$B$2,Notes!$I$2:$I$11,0),4)*$C25</f>
        <v>409200</v>
      </c>
      <c r="K25" s="22">
        <f>INDEX(Notes!$I$2:$N$11,MATCH(Notes!$B$2,Notes!$I$2:$I$11,0),5)*$D25</f>
        <v>202376</v>
      </c>
      <c r="L25" s="22">
        <f>INDEX(Notes!$I$2:$N$11,MATCH(Notes!$B$2,Notes!$I$2:$I$11,0),6)*$E25</f>
        <v>303564</v>
      </c>
      <c r="M25" s="22">
        <f>IF(Notes!$B$2="June",'Payment Total'!$F25,0)</f>
        <v>101187</v>
      </c>
      <c r="N25" s="22">
        <f t="shared" si="0"/>
        <v>0</v>
      </c>
      <c r="P25" s="26">
        <v>3550000</v>
      </c>
      <c r="Q25" s="26">
        <v>101187</v>
      </c>
      <c r="R25" s="21" t="str">
        <f t="shared" si="1"/>
        <v>0355</v>
      </c>
      <c r="S25" s="44" t="str">
        <f t="shared" si="2"/>
        <v>0355</v>
      </c>
      <c r="T25" s="20">
        <f t="shared" si="3"/>
        <v>0</v>
      </c>
      <c r="V25" s="46" t="s">
        <v>829</v>
      </c>
      <c r="W25" s="26">
        <v>101187</v>
      </c>
      <c r="X25" s="21" t="str">
        <f t="shared" si="4"/>
        <v>0355</v>
      </c>
      <c r="Y25" s="44" t="str">
        <f t="shared" si="5"/>
        <v>0355</v>
      </c>
      <c r="Z25" s="45">
        <f t="shared" si="6"/>
        <v>0</v>
      </c>
    </row>
    <row r="26" spans="1:26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855094</v>
      </c>
      <c r="D26" s="164">
        <f>INDEX(Data[],MATCH($A26,Data[Dist],0),MATCH(D$6,Data[#Headers],0))</f>
        <v>849465</v>
      </c>
      <c r="E26" s="164">
        <f>INDEX(Data[],MATCH($A26,Data[Dist],0),MATCH(E$6,Data[#Headers],0))</f>
        <v>849464</v>
      </c>
      <c r="F26" s="164">
        <f>INDEX(Data[],MATCH($A26,Data[Dist],0),MATCH(F$6,Data[#Headers],0))</f>
        <v>849465</v>
      </c>
      <c r="G26" s="22">
        <f>INDEX(Data[],MATCH($A26,Data[Dist],0),MATCH(G$6,Data[#Headers],0))</f>
        <v>8517163</v>
      </c>
      <c r="H26" s="22">
        <f>INDEX(Data[],MATCH($A26,Data[Dist],0),MATCH(H$6,Data[#Headers],0))-G26</f>
        <v>0</v>
      </c>
      <c r="I26" s="25"/>
      <c r="J26" s="22">
        <f>INDEX(Notes!$I$2:$N$11,MATCH(Notes!$B$2,Notes!$I$2:$I$11,0),4)*$C26</f>
        <v>3420376</v>
      </c>
      <c r="K26" s="22">
        <f>INDEX(Notes!$I$2:$N$11,MATCH(Notes!$B$2,Notes!$I$2:$I$11,0),5)*$D26</f>
        <v>1698930</v>
      </c>
      <c r="L26" s="22">
        <f>INDEX(Notes!$I$2:$N$11,MATCH(Notes!$B$2,Notes!$I$2:$I$11,0),6)*$E26</f>
        <v>2548392</v>
      </c>
      <c r="M26" s="22">
        <f>IF(Notes!$B$2="June",'Payment Total'!$F26,0)</f>
        <v>849465</v>
      </c>
      <c r="N26" s="22">
        <f t="shared" si="0"/>
        <v>0</v>
      </c>
      <c r="P26" s="26">
        <v>3870000</v>
      </c>
      <c r="Q26" s="26">
        <v>849465</v>
      </c>
      <c r="R26" s="21" t="str">
        <f t="shared" si="1"/>
        <v>0387</v>
      </c>
      <c r="S26" s="44" t="str">
        <f t="shared" si="2"/>
        <v>0387</v>
      </c>
      <c r="T26" s="20">
        <f t="shared" si="3"/>
        <v>0</v>
      </c>
      <c r="V26" s="46" t="s">
        <v>830</v>
      </c>
      <c r="W26" s="26">
        <v>849465</v>
      </c>
      <c r="X26" s="21" t="str">
        <f t="shared" si="4"/>
        <v>0387</v>
      </c>
      <c r="Y26" s="44" t="str">
        <f t="shared" si="5"/>
        <v>0387</v>
      </c>
      <c r="Z26" s="45">
        <f t="shared" si="6"/>
        <v>0</v>
      </c>
    </row>
    <row r="27" spans="1:26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273673</v>
      </c>
      <c r="D27" s="164">
        <f>INDEX(Data[],MATCH($A27,Data[Dist],0),MATCH(D$6,Data[#Headers],0))</f>
        <v>271628</v>
      </c>
      <c r="E27" s="164">
        <f>INDEX(Data[],MATCH($A27,Data[Dist],0),MATCH(E$6,Data[#Headers],0))</f>
        <v>262704</v>
      </c>
      <c r="F27" s="164">
        <f>INDEX(Data[],MATCH($A27,Data[Dist],0),MATCH(F$6,Data[#Headers],0))</f>
        <v>262703</v>
      </c>
      <c r="G27" s="22">
        <f>INDEX(Data[],MATCH($A27,Data[Dist],0),MATCH(G$6,Data[#Headers],0))</f>
        <v>2688763</v>
      </c>
      <c r="H27" s="22">
        <f>INDEX(Data[],MATCH($A27,Data[Dist],0),MATCH(H$6,Data[#Headers],0))-G27</f>
        <v>0</v>
      </c>
      <c r="I27" s="25"/>
      <c r="J27" s="22">
        <f>INDEX(Notes!$I$2:$N$11,MATCH(Notes!$B$2,Notes!$I$2:$I$11,0),4)*$C27</f>
        <v>1094692</v>
      </c>
      <c r="K27" s="22">
        <f>INDEX(Notes!$I$2:$N$11,MATCH(Notes!$B$2,Notes!$I$2:$I$11,0),5)*$D27</f>
        <v>543256</v>
      </c>
      <c r="L27" s="22">
        <f>INDEX(Notes!$I$2:$N$11,MATCH(Notes!$B$2,Notes!$I$2:$I$11,0),6)*$E27</f>
        <v>788112</v>
      </c>
      <c r="M27" s="22">
        <f>IF(Notes!$B$2="June",'Payment Total'!$F27,0)</f>
        <v>262703</v>
      </c>
      <c r="N27" s="22">
        <f t="shared" si="0"/>
        <v>0</v>
      </c>
      <c r="P27" s="26">
        <v>4140000</v>
      </c>
      <c r="Q27" s="26">
        <v>262703</v>
      </c>
      <c r="R27" s="21" t="str">
        <f t="shared" si="1"/>
        <v>0414</v>
      </c>
      <c r="S27" s="44" t="str">
        <f t="shared" si="2"/>
        <v>0414</v>
      </c>
      <c r="T27" s="20">
        <f t="shared" si="3"/>
        <v>0</v>
      </c>
      <c r="V27" s="46" t="s">
        <v>831</v>
      </c>
      <c r="W27" s="26">
        <v>262703</v>
      </c>
      <c r="X27" s="21" t="str">
        <f t="shared" si="4"/>
        <v>0414</v>
      </c>
      <c r="Y27" s="44" t="str">
        <f t="shared" si="5"/>
        <v>0414</v>
      </c>
      <c r="Z27" s="45">
        <f t="shared" si="6"/>
        <v>0</v>
      </c>
    </row>
    <row r="28" spans="1:26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405977</v>
      </c>
      <c r="D28" s="164">
        <f>INDEX(Data[],MATCH($A28,Data[Dist],0),MATCH(D$6,Data[#Headers],0))</f>
        <v>402680</v>
      </c>
      <c r="E28" s="164">
        <f>INDEX(Data[],MATCH($A28,Data[Dist],0),MATCH(E$6,Data[#Headers],0))</f>
        <v>402680</v>
      </c>
      <c r="F28" s="164">
        <f>INDEX(Data[],MATCH($A28,Data[Dist],0),MATCH(F$6,Data[#Headers],0))</f>
        <v>402681</v>
      </c>
      <c r="G28" s="22">
        <f>INDEX(Data[],MATCH($A28,Data[Dist],0),MATCH(G$6,Data[#Headers],0))</f>
        <v>4039989</v>
      </c>
      <c r="H28" s="22">
        <f>INDEX(Data[],MATCH($A28,Data[Dist],0),MATCH(H$6,Data[#Headers],0))-G28</f>
        <v>0</v>
      </c>
      <c r="I28" s="25"/>
      <c r="J28" s="22">
        <f>INDEX(Notes!$I$2:$N$11,MATCH(Notes!$B$2,Notes!$I$2:$I$11,0),4)*$C28</f>
        <v>1623908</v>
      </c>
      <c r="K28" s="22">
        <f>INDEX(Notes!$I$2:$N$11,MATCH(Notes!$B$2,Notes!$I$2:$I$11,0),5)*$D28</f>
        <v>805360</v>
      </c>
      <c r="L28" s="22">
        <f>INDEX(Notes!$I$2:$N$11,MATCH(Notes!$B$2,Notes!$I$2:$I$11,0),6)*$E28</f>
        <v>1208040</v>
      </c>
      <c r="M28" s="22">
        <f>IF(Notes!$B$2="June",'Payment Total'!$F28,0)</f>
        <v>402681</v>
      </c>
      <c r="N28" s="22">
        <f t="shared" si="0"/>
        <v>0</v>
      </c>
      <c r="P28" s="26">
        <v>4410000</v>
      </c>
      <c r="Q28" s="26">
        <v>402681</v>
      </c>
      <c r="R28" s="21" t="str">
        <f t="shared" si="1"/>
        <v>0441</v>
      </c>
      <c r="S28" s="44" t="str">
        <f t="shared" si="2"/>
        <v>0441</v>
      </c>
      <c r="T28" s="20">
        <f t="shared" si="3"/>
        <v>0</v>
      </c>
      <c r="V28" s="46" t="s">
        <v>815</v>
      </c>
      <c r="W28" s="26">
        <v>402681</v>
      </c>
      <c r="X28" s="21" t="str">
        <f t="shared" si="4"/>
        <v>0441</v>
      </c>
      <c r="Y28" s="44" t="str">
        <f t="shared" si="5"/>
        <v>0441</v>
      </c>
      <c r="Z28" s="45">
        <f t="shared" si="6"/>
        <v>0</v>
      </c>
    </row>
    <row r="29" spans="1:26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1130434</v>
      </c>
      <c r="D29" s="164">
        <f>INDEX(Data[],MATCH($A29,Data[Dist],0),MATCH(D$6,Data[#Headers],0))</f>
        <v>1123694</v>
      </c>
      <c r="E29" s="164">
        <f>INDEX(Data[],MATCH($A29,Data[Dist],0),MATCH(E$6,Data[#Headers],0))</f>
        <v>1123694</v>
      </c>
      <c r="F29" s="164">
        <f>INDEX(Data[],MATCH($A29,Data[Dist],0),MATCH(F$6,Data[#Headers],0))</f>
        <v>1123692</v>
      </c>
      <c r="G29" s="22">
        <f>INDEX(Data[],MATCH($A29,Data[Dist],0),MATCH(G$6,Data[#Headers],0))</f>
        <v>11263898</v>
      </c>
      <c r="H29" s="22">
        <f>INDEX(Data[],MATCH($A29,Data[Dist],0),MATCH(H$6,Data[#Headers],0))-G29</f>
        <v>0</v>
      </c>
      <c r="I29" s="25"/>
      <c r="J29" s="22">
        <f>INDEX(Notes!$I$2:$N$11,MATCH(Notes!$B$2,Notes!$I$2:$I$11,0),4)*$C29</f>
        <v>4521736</v>
      </c>
      <c r="K29" s="22">
        <f>INDEX(Notes!$I$2:$N$11,MATCH(Notes!$B$2,Notes!$I$2:$I$11,0),5)*$D29</f>
        <v>2247388</v>
      </c>
      <c r="L29" s="22">
        <f>INDEX(Notes!$I$2:$N$11,MATCH(Notes!$B$2,Notes!$I$2:$I$11,0),6)*$E29</f>
        <v>3371082</v>
      </c>
      <c r="M29" s="22">
        <f>IF(Notes!$B$2="June",'Payment Total'!$F29,0)</f>
        <v>1123692</v>
      </c>
      <c r="N29" s="22">
        <f t="shared" si="0"/>
        <v>0</v>
      </c>
      <c r="P29" s="26">
        <v>4720000</v>
      </c>
      <c r="Q29" s="26">
        <v>1123692</v>
      </c>
      <c r="R29" s="21" t="str">
        <f t="shared" si="1"/>
        <v>0472</v>
      </c>
      <c r="S29" s="44" t="str">
        <f t="shared" si="2"/>
        <v>0472</v>
      </c>
      <c r="T29" s="20">
        <f t="shared" si="3"/>
        <v>0</v>
      </c>
      <c r="V29" s="46" t="s">
        <v>832</v>
      </c>
      <c r="W29" s="26">
        <v>1123692</v>
      </c>
      <c r="X29" s="21" t="str">
        <f t="shared" si="4"/>
        <v>0472</v>
      </c>
      <c r="Y29" s="44" t="str">
        <f t="shared" si="5"/>
        <v>0472</v>
      </c>
      <c r="Z29" s="45">
        <f t="shared" si="6"/>
        <v>0</v>
      </c>
    </row>
    <row r="30" spans="1:26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200866</v>
      </c>
      <c r="D30" s="164">
        <f>INDEX(Data[],MATCH($A30,Data[Dist],0),MATCH(D$6,Data[#Headers],0))</f>
        <v>199552</v>
      </c>
      <c r="E30" s="164">
        <f>INDEX(Data[],MATCH($A30,Data[Dist],0),MATCH(E$6,Data[#Headers],0))</f>
        <v>193047</v>
      </c>
      <c r="F30" s="164">
        <f>INDEX(Data[],MATCH($A30,Data[Dist],0),MATCH(F$6,Data[#Headers],0))</f>
        <v>193046</v>
      </c>
      <c r="G30" s="22">
        <f>INDEX(Data[],MATCH($A30,Data[Dist],0),MATCH(G$6,Data[#Headers],0))</f>
        <v>1974755</v>
      </c>
      <c r="H30" s="22">
        <f>INDEX(Data[],MATCH($A30,Data[Dist],0),MATCH(H$6,Data[#Headers],0))-G30</f>
        <v>0</v>
      </c>
      <c r="I30" s="25"/>
      <c r="J30" s="22">
        <f>INDEX(Notes!$I$2:$N$11,MATCH(Notes!$B$2,Notes!$I$2:$I$11,0),4)*$C30</f>
        <v>803464</v>
      </c>
      <c r="K30" s="22">
        <f>INDEX(Notes!$I$2:$N$11,MATCH(Notes!$B$2,Notes!$I$2:$I$11,0),5)*$D30</f>
        <v>399104</v>
      </c>
      <c r="L30" s="22">
        <f>INDEX(Notes!$I$2:$N$11,MATCH(Notes!$B$2,Notes!$I$2:$I$11,0),6)*$E30</f>
        <v>579141</v>
      </c>
      <c r="M30" s="22">
        <f>IF(Notes!$B$2="June",'Payment Total'!$F30,0)</f>
        <v>193046</v>
      </c>
      <c r="N30" s="22">
        <f t="shared" si="0"/>
        <v>0</v>
      </c>
      <c r="P30" s="26">
        <v>5130000</v>
      </c>
      <c r="Q30" s="26">
        <v>193046</v>
      </c>
      <c r="R30" s="21" t="str">
        <f t="shared" si="1"/>
        <v>0513</v>
      </c>
      <c r="S30" s="44" t="str">
        <f t="shared" si="2"/>
        <v>0513</v>
      </c>
      <c r="T30" s="20">
        <f t="shared" si="3"/>
        <v>0</v>
      </c>
      <c r="V30" s="46" t="s">
        <v>833</v>
      </c>
      <c r="W30" s="26">
        <v>193046</v>
      </c>
      <c r="X30" s="21" t="str">
        <f t="shared" si="4"/>
        <v>0513</v>
      </c>
      <c r="Y30" s="44" t="str">
        <f t="shared" si="5"/>
        <v>0513</v>
      </c>
      <c r="Z30" s="45">
        <f t="shared" si="6"/>
        <v>0</v>
      </c>
    </row>
    <row r="31" spans="1:26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291245</v>
      </c>
      <c r="D31" s="164">
        <f>INDEX(Data[],MATCH($A31,Data[Dist],0),MATCH(D$6,Data[#Headers],0))</f>
        <v>289034</v>
      </c>
      <c r="E31" s="164">
        <f>INDEX(Data[],MATCH($A31,Data[Dist],0),MATCH(E$6,Data[#Headers],0))</f>
        <v>289034</v>
      </c>
      <c r="F31" s="164">
        <f>INDEX(Data[],MATCH($A31,Data[Dist],0),MATCH(F$6,Data[#Headers],0))</f>
        <v>289033</v>
      </c>
      <c r="G31" s="22">
        <f>INDEX(Data[],MATCH($A31,Data[Dist],0),MATCH(G$6,Data[#Headers],0))</f>
        <v>2899183</v>
      </c>
      <c r="H31" s="22">
        <f>INDEX(Data[],MATCH($A31,Data[Dist],0),MATCH(H$6,Data[#Headers],0))-G31</f>
        <v>0</v>
      </c>
      <c r="I31" s="25"/>
      <c r="J31" s="22">
        <f>INDEX(Notes!$I$2:$N$11,MATCH(Notes!$B$2,Notes!$I$2:$I$11,0),4)*$C31</f>
        <v>1164980</v>
      </c>
      <c r="K31" s="22">
        <f>INDEX(Notes!$I$2:$N$11,MATCH(Notes!$B$2,Notes!$I$2:$I$11,0),5)*$D31</f>
        <v>578068</v>
      </c>
      <c r="L31" s="22">
        <f>INDEX(Notes!$I$2:$N$11,MATCH(Notes!$B$2,Notes!$I$2:$I$11,0),6)*$E31</f>
        <v>867102</v>
      </c>
      <c r="M31" s="22">
        <f>IF(Notes!$B$2="June",'Payment Total'!$F31,0)</f>
        <v>289033</v>
      </c>
      <c r="N31" s="22">
        <f t="shared" si="0"/>
        <v>0</v>
      </c>
      <c r="P31" s="26">
        <v>5400000</v>
      </c>
      <c r="Q31" s="26">
        <v>289033</v>
      </c>
      <c r="R31" s="21" t="str">
        <f t="shared" si="1"/>
        <v>0540</v>
      </c>
      <c r="S31" s="44" t="str">
        <f t="shared" si="2"/>
        <v>0540</v>
      </c>
      <c r="T31" s="20">
        <f t="shared" si="3"/>
        <v>0</v>
      </c>
      <c r="V31" s="46" t="s">
        <v>834</v>
      </c>
      <c r="W31" s="26">
        <v>289033</v>
      </c>
      <c r="X31" s="21" t="str">
        <f t="shared" si="4"/>
        <v>0540</v>
      </c>
      <c r="Y31" s="44" t="str">
        <f t="shared" si="5"/>
        <v>0540</v>
      </c>
      <c r="Z31" s="45">
        <f t="shared" si="6"/>
        <v>0</v>
      </c>
    </row>
    <row r="32" spans="1:26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247297</v>
      </c>
      <c r="D32" s="164">
        <f>INDEX(Data[],MATCH($A32,Data[Dist],0),MATCH(D$6,Data[#Headers],0))</f>
        <v>245423</v>
      </c>
      <c r="E32" s="164">
        <f>INDEX(Data[],MATCH($A32,Data[Dist],0),MATCH(E$6,Data[#Headers],0))</f>
        <v>245423</v>
      </c>
      <c r="F32" s="164">
        <f>INDEX(Data[],MATCH($A32,Data[Dist],0),MATCH(F$6,Data[#Headers],0))</f>
        <v>245422</v>
      </c>
      <c r="G32" s="22">
        <f>INDEX(Data[],MATCH($A32,Data[Dist],0),MATCH(G$6,Data[#Headers],0))</f>
        <v>2461725</v>
      </c>
      <c r="H32" s="22">
        <f>INDEX(Data[],MATCH($A32,Data[Dist],0),MATCH(H$6,Data[#Headers],0))-G32</f>
        <v>0</v>
      </c>
      <c r="I32" s="25"/>
      <c r="J32" s="22">
        <f>INDEX(Notes!$I$2:$N$11,MATCH(Notes!$B$2,Notes!$I$2:$I$11,0),4)*$C32</f>
        <v>989188</v>
      </c>
      <c r="K32" s="22">
        <f>INDEX(Notes!$I$2:$N$11,MATCH(Notes!$B$2,Notes!$I$2:$I$11,0),5)*$D32</f>
        <v>490846</v>
      </c>
      <c r="L32" s="22">
        <f>INDEX(Notes!$I$2:$N$11,MATCH(Notes!$B$2,Notes!$I$2:$I$11,0),6)*$E32</f>
        <v>736269</v>
      </c>
      <c r="M32" s="22">
        <f>IF(Notes!$B$2="June",'Payment Total'!$F32,0)</f>
        <v>245422</v>
      </c>
      <c r="N32" s="22">
        <f t="shared" si="0"/>
        <v>0</v>
      </c>
      <c r="P32" s="26">
        <v>5490000</v>
      </c>
      <c r="Q32" s="26">
        <v>245422</v>
      </c>
      <c r="R32" s="21" t="str">
        <f t="shared" si="1"/>
        <v>0549</v>
      </c>
      <c r="S32" s="44" t="str">
        <f t="shared" si="2"/>
        <v>0549</v>
      </c>
      <c r="T32" s="20">
        <f t="shared" si="3"/>
        <v>0</v>
      </c>
      <c r="V32" s="46" t="s">
        <v>835</v>
      </c>
      <c r="W32" s="26">
        <v>245422</v>
      </c>
      <c r="X32" s="21" t="str">
        <f t="shared" si="4"/>
        <v>0549</v>
      </c>
      <c r="Y32" s="44" t="str">
        <f t="shared" si="5"/>
        <v>0549</v>
      </c>
      <c r="Z32" s="45">
        <f t="shared" si="6"/>
        <v>0</v>
      </c>
    </row>
    <row r="33" spans="1:26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323983</v>
      </c>
      <c r="D33" s="164">
        <f>INDEX(Data[],MATCH($A33,Data[Dist],0),MATCH(D$6,Data[#Headers],0))</f>
        <v>321765</v>
      </c>
      <c r="E33" s="164">
        <f>INDEX(Data[],MATCH($A33,Data[Dist],0),MATCH(E$6,Data[#Headers],0))</f>
        <v>321765</v>
      </c>
      <c r="F33" s="164">
        <f>INDEX(Data[],MATCH($A33,Data[Dist],0),MATCH(F$6,Data[#Headers],0))</f>
        <v>321763</v>
      </c>
      <c r="G33" s="22">
        <f>INDEX(Data[],MATCH($A33,Data[Dist],0),MATCH(G$6,Data[#Headers],0))</f>
        <v>3226520</v>
      </c>
      <c r="H33" s="22">
        <f>INDEX(Data[],MATCH($A33,Data[Dist],0),MATCH(H$6,Data[#Headers],0))-G33</f>
        <v>0</v>
      </c>
      <c r="I33" s="25"/>
      <c r="J33" s="22">
        <f>INDEX(Notes!$I$2:$N$11,MATCH(Notes!$B$2,Notes!$I$2:$I$11,0),4)*$C33</f>
        <v>1295932</v>
      </c>
      <c r="K33" s="22">
        <f>INDEX(Notes!$I$2:$N$11,MATCH(Notes!$B$2,Notes!$I$2:$I$11,0),5)*$D33</f>
        <v>643530</v>
      </c>
      <c r="L33" s="22">
        <f>INDEX(Notes!$I$2:$N$11,MATCH(Notes!$B$2,Notes!$I$2:$I$11,0),6)*$E33</f>
        <v>965295</v>
      </c>
      <c r="M33" s="22">
        <f>IF(Notes!$B$2="June",'Payment Total'!$F33,0)</f>
        <v>321763</v>
      </c>
      <c r="N33" s="22">
        <f t="shared" si="0"/>
        <v>0</v>
      </c>
      <c r="P33" s="26">
        <v>5760000</v>
      </c>
      <c r="Q33" s="26">
        <v>321763</v>
      </c>
      <c r="R33" s="21" t="str">
        <f t="shared" si="1"/>
        <v>0576</v>
      </c>
      <c r="S33" s="44" t="str">
        <f t="shared" si="2"/>
        <v>0576</v>
      </c>
      <c r="T33" s="20">
        <f t="shared" si="3"/>
        <v>0</v>
      </c>
      <c r="V33" s="46" t="s">
        <v>836</v>
      </c>
      <c r="W33" s="26">
        <v>321763</v>
      </c>
      <c r="X33" s="21" t="str">
        <f t="shared" si="4"/>
        <v>0576</v>
      </c>
      <c r="Y33" s="44" t="str">
        <f t="shared" si="5"/>
        <v>0576</v>
      </c>
      <c r="Z33" s="45">
        <f t="shared" si="6"/>
        <v>0</v>
      </c>
    </row>
    <row r="34" spans="1:26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311799</v>
      </c>
      <c r="D34" s="164">
        <f>INDEX(Data[],MATCH($A34,Data[Dist],0),MATCH(D$6,Data[#Headers],0))</f>
        <v>309379</v>
      </c>
      <c r="E34" s="164">
        <f>INDEX(Data[],MATCH($A34,Data[Dist],0),MATCH(E$6,Data[#Headers],0))</f>
        <v>309379</v>
      </c>
      <c r="F34" s="164">
        <f>INDEX(Data[],MATCH($A34,Data[Dist],0),MATCH(F$6,Data[#Headers],0))</f>
        <v>309379</v>
      </c>
      <c r="G34" s="22">
        <f>INDEX(Data[],MATCH($A34,Data[Dist],0),MATCH(G$6,Data[#Headers],0))</f>
        <v>3103470</v>
      </c>
      <c r="H34" s="22">
        <f>INDEX(Data[],MATCH($A34,Data[Dist],0),MATCH(H$6,Data[#Headers],0))-G34</f>
        <v>0</v>
      </c>
      <c r="I34" s="25"/>
      <c r="J34" s="22">
        <f>INDEX(Notes!$I$2:$N$11,MATCH(Notes!$B$2,Notes!$I$2:$I$11,0),4)*$C34</f>
        <v>1247196</v>
      </c>
      <c r="K34" s="22">
        <f>INDEX(Notes!$I$2:$N$11,MATCH(Notes!$B$2,Notes!$I$2:$I$11,0),5)*$D34</f>
        <v>618758</v>
      </c>
      <c r="L34" s="22">
        <f>INDEX(Notes!$I$2:$N$11,MATCH(Notes!$B$2,Notes!$I$2:$I$11,0),6)*$E34</f>
        <v>928137</v>
      </c>
      <c r="M34" s="22">
        <f>IF(Notes!$B$2="June",'Payment Total'!$F34,0)</f>
        <v>309379</v>
      </c>
      <c r="N34" s="22">
        <f t="shared" si="0"/>
        <v>0</v>
      </c>
      <c r="P34" s="26">
        <v>5850000</v>
      </c>
      <c r="Q34" s="26">
        <v>309379</v>
      </c>
      <c r="R34" s="21" t="str">
        <f t="shared" si="1"/>
        <v>0585</v>
      </c>
      <c r="S34" s="44" t="str">
        <f t="shared" si="2"/>
        <v>0585</v>
      </c>
      <c r="T34" s="20">
        <f t="shared" si="3"/>
        <v>0</v>
      </c>
      <c r="V34" s="46" t="s">
        <v>837</v>
      </c>
      <c r="W34" s="26">
        <v>309379</v>
      </c>
      <c r="X34" s="21" t="str">
        <f t="shared" si="4"/>
        <v>0585</v>
      </c>
      <c r="Y34" s="44" t="str">
        <f t="shared" si="5"/>
        <v>0585</v>
      </c>
      <c r="Z34" s="45">
        <f t="shared" si="6"/>
        <v>0</v>
      </c>
    </row>
    <row r="35" spans="1:26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468647</v>
      </c>
      <c r="D35" s="164">
        <f>INDEX(Data[],MATCH($A35,Data[Dist],0),MATCH(D$6,Data[#Headers],0))</f>
        <v>465326</v>
      </c>
      <c r="E35" s="164">
        <f>INDEX(Data[],MATCH($A35,Data[Dist],0),MATCH(E$6,Data[#Headers],0))</f>
        <v>465326</v>
      </c>
      <c r="F35" s="164">
        <f>INDEX(Data[],MATCH($A35,Data[Dist],0),MATCH(F$6,Data[#Headers],0))</f>
        <v>465327</v>
      </c>
      <c r="G35" s="22">
        <f>INDEX(Data[],MATCH($A35,Data[Dist],0),MATCH(G$6,Data[#Headers],0))</f>
        <v>4666545</v>
      </c>
      <c r="H35" s="22">
        <f>INDEX(Data[],MATCH($A35,Data[Dist],0),MATCH(H$6,Data[#Headers],0))-G35</f>
        <v>0</v>
      </c>
      <c r="I35" s="25"/>
      <c r="J35" s="22">
        <f>INDEX(Notes!$I$2:$N$11,MATCH(Notes!$B$2,Notes!$I$2:$I$11,0),4)*$C35</f>
        <v>1874588</v>
      </c>
      <c r="K35" s="22">
        <f>INDEX(Notes!$I$2:$N$11,MATCH(Notes!$B$2,Notes!$I$2:$I$11,0),5)*$D35</f>
        <v>930652</v>
      </c>
      <c r="L35" s="22">
        <f>INDEX(Notes!$I$2:$N$11,MATCH(Notes!$B$2,Notes!$I$2:$I$11,0),6)*$E35</f>
        <v>1395978</v>
      </c>
      <c r="M35" s="22">
        <f>IF(Notes!$B$2="June",'Payment Total'!$F35,0)</f>
        <v>465327</v>
      </c>
      <c r="N35" s="22">
        <f t="shared" si="0"/>
        <v>0</v>
      </c>
      <c r="P35" s="26">
        <v>5940000</v>
      </c>
      <c r="Q35" s="26">
        <v>465327</v>
      </c>
      <c r="R35" s="21" t="str">
        <f t="shared" si="1"/>
        <v>0594</v>
      </c>
      <c r="S35" s="44" t="str">
        <f t="shared" si="2"/>
        <v>0594</v>
      </c>
      <c r="T35" s="20">
        <f t="shared" si="3"/>
        <v>0</v>
      </c>
      <c r="V35" s="46" t="s">
        <v>838</v>
      </c>
      <c r="W35" s="26">
        <v>465327</v>
      </c>
      <c r="X35" s="21" t="str">
        <f t="shared" si="4"/>
        <v>0594</v>
      </c>
      <c r="Y35" s="44" t="str">
        <f t="shared" si="5"/>
        <v>0594</v>
      </c>
      <c r="Z35" s="45">
        <f t="shared" si="6"/>
        <v>0</v>
      </c>
    </row>
    <row r="36" spans="1:26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94690</v>
      </c>
      <c r="D36" s="164">
        <f>INDEX(Data[],MATCH($A36,Data[Dist],0),MATCH(D$6,Data[#Headers],0))</f>
        <v>93912</v>
      </c>
      <c r="E36" s="164">
        <f>INDEX(Data[],MATCH($A36,Data[Dist],0),MATCH(E$6,Data[#Headers],0))</f>
        <v>89634</v>
      </c>
      <c r="F36" s="164">
        <f>INDEX(Data[],MATCH($A36,Data[Dist],0),MATCH(F$6,Data[#Headers],0))</f>
        <v>89635</v>
      </c>
      <c r="G36" s="22">
        <f>INDEX(Data[],MATCH($A36,Data[Dist],0),MATCH(G$6,Data[#Headers],0))</f>
        <v>925121</v>
      </c>
      <c r="H36" s="22">
        <f>INDEX(Data[],MATCH($A36,Data[Dist],0),MATCH(H$6,Data[#Headers],0))-G36</f>
        <v>0</v>
      </c>
      <c r="I36" s="25"/>
      <c r="J36" s="22">
        <f>INDEX(Notes!$I$2:$N$11,MATCH(Notes!$B$2,Notes!$I$2:$I$11,0),4)*$C36</f>
        <v>378760</v>
      </c>
      <c r="K36" s="22">
        <f>INDEX(Notes!$I$2:$N$11,MATCH(Notes!$B$2,Notes!$I$2:$I$11,0),5)*$D36</f>
        <v>187824</v>
      </c>
      <c r="L36" s="22">
        <f>INDEX(Notes!$I$2:$N$11,MATCH(Notes!$B$2,Notes!$I$2:$I$11,0),6)*$E36</f>
        <v>268902</v>
      </c>
      <c r="M36" s="22">
        <f>IF(Notes!$B$2="June",'Payment Total'!$F36,0)</f>
        <v>89635</v>
      </c>
      <c r="N36" s="22">
        <f t="shared" si="0"/>
        <v>0</v>
      </c>
      <c r="P36" s="26">
        <v>6030000</v>
      </c>
      <c r="Q36" s="26">
        <v>89635</v>
      </c>
      <c r="R36" s="21" t="str">
        <f t="shared" si="1"/>
        <v>0603</v>
      </c>
      <c r="S36" s="44" t="str">
        <f t="shared" si="2"/>
        <v>0603</v>
      </c>
      <c r="T36" s="20">
        <f t="shared" si="3"/>
        <v>0</v>
      </c>
      <c r="V36" s="46" t="s">
        <v>839</v>
      </c>
      <c r="W36" s="26">
        <v>89635</v>
      </c>
      <c r="X36" s="21" t="str">
        <f t="shared" si="4"/>
        <v>0603</v>
      </c>
      <c r="Y36" s="44" t="str">
        <f t="shared" si="5"/>
        <v>0603</v>
      </c>
      <c r="Z36" s="45">
        <f t="shared" si="6"/>
        <v>0</v>
      </c>
    </row>
    <row r="37" spans="1:26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798860</v>
      </c>
      <c r="D37" s="164">
        <f>INDEX(Data[],MATCH($A37,Data[Dist],0),MATCH(D$6,Data[#Headers],0))</f>
        <v>792670</v>
      </c>
      <c r="E37" s="164">
        <f>INDEX(Data[],MATCH($A37,Data[Dist],0),MATCH(E$6,Data[#Headers],0))</f>
        <v>792670</v>
      </c>
      <c r="F37" s="164">
        <f>INDEX(Data[],MATCH($A37,Data[Dist],0),MATCH(F$6,Data[#Headers],0))</f>
        <v>792669</v>
      </c>
      <c r="G37" s="22">
        <f>INDEX(Data[],MATCH($A37,Data[Dist],0),MATCH(G$6,Data[#Headers],0))</f>
        <v>7951459</v>
      </c>
      <c r="H37" s="22">
        <f>INDEX(Data[],MATCH($A37,Data[Dist],0),MATCH(H$6,Data[#Headers],0))-G37</f>
        <v>0</v>
      </c>
      <c r="I37" s="25"/>
      <c r="J37" s="22">
        <f>INDEX(Notes!$I$2:$N$11,MATCH(Notes!$B$2,Notes!$I$2:$I$11,0),4)*$C37</f>
        <v>3195440</v>
      </c>
      <c r="K37" s="22">
        <f>INDEX(Notes!$I$2:$N$11,MATCH(Notes!$B$2,Notes!$I$2:$I$11,0),5)*$D37</f>
        <v>1585340</v>
      </c>
      <c r="L37" s="22">
        <f>INDEX(Notes!$I$2:$N$11,MATCH(Notes!$B$2,Notes!$I$2:$I$11,0),6)*$E37</f>
        <v>2378010</v>
      </c>
      <c r="M37" s="22">
        <f>IF(Notes!$B$2="June",'Payment Total'!$F37,0)</f>
        <v>792669</v>
      </c>
      <c r="N37" s="22">
        <f t="shared" si="0"/>
        <v>0</v>
      </c>
      <c r="P37" s="26">
        <v>6090000</v>
      </c>
      <c r="Q37" s="26">
        <v>792669</v>
      </c>
      <c r="R37" s="21" t="str">
        <f t="shared" si="1"/>
        <v>0609</v>
      </c>
      <c r="S37" s="44" t="str">
        <f t="shared" si="2"/>
        <v>0609</v>
      </c>
      <c r="T37" s="20">
        <f t="shared" si="3"/>
        <v>0</v>
      </c>
      <c r="V37" s="46" t="s">
        <v>840</v>
      </c>
      <c r="W37" s="26">
        <v>792669</v>
      </c>
      <c r="X37" s="21" t="str">
        <f t="shared" si="4"/>
        <v>0609</v>
      </c>
      <c r="Y37" s="44" t="str">
        <f t="shared" si="5"/>
        <v>0609</v>
      </c>
      <c r="Z37" s="45">
        <f t="shared" si="6"/>
        <v>0</v>
      </c>
    </row>
    <row r="38" spans="1:26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2377546</v>
      </c>
      <c r="D38" s="164">
        <f>INDEX(Data[],MATCH($A38,Data[Dist],0),MATCH(D$6,Data[#Headers],0))</f>
        <v>2360477</v>
      </c>
      <c r="E38" s="164">
        <f>INDEX(Data[],MATCH($A38,Data[Dist],0),MATCH(E$6,Data[#Headers],0))</f>
        <v>2360477</v>
      </c>
      <c r="F38" s="164">
        <f>INDEX(Data[],MATCH($A38,Data[Dist],0),MATCH(F$6,Data[#Headers],0))</f>
        <v>2360475</v>
      </c>
      <c r="G38" s="22">
        <f>INDEX(Data[],MATCH($A38,Data[Dist],0),MATCH(G$6,Data[#Headers],0))</f>
        <v>23673044</v>
      </c>
      <c r="H38" s="22">
        <f>INDEX(Data[],MATCH($A38,Data[Dist],0),MATCH(H$6,Data[#Headers],0))-G38</f>
        <v>0</v>
      </c>
      <c r="I38" s="25"/>
      <c r="J38" s="22">
        <f>INDEX(Notes!$I$2:$N$11,MATCH(Notes!$B$2,Notes!$I$2:$I$11,0),4)*$C38</f>
        <v>9510184</v>
      </c>
      <c r="K38" s="22">
        <f>INDEX(Notes!$I$2:$N$11,MATCH(Notes!$B$2,Notes!$I$2:$I$11,0),5)*$D38</f>
        <v>4720954</v>
      </c>
      <c r="L38" s="22">
        <f>INDEX(Notes!$I$2:$N$11,MATCH(Notes!$B$2,Notes!$I$2:$I$11,0),6)*$E38</f>
        <v>7081431</v>
      </c>
      <c r="M38" s="22">
        <f>IF(Notes!$B$2="June",'Payment Total'!$F38,0)</f>
        <v>2360475</v>
      </c>
      <c r="N38" s="22">
        <f t="shared" si="0"/>
        <v>0</v>
      </c>
      <c r="P38" s="26">
        <v>6210000</v>
      </c>
      <c r="Q38" s="26">
        <v>2360475</v>
      </c>
      <c r="R38" s="21" t="str">
        <f t="shared" si="1"/>
        <v>0621</v>
      </c>
      <c r="S38" s="44" t="str">
        <f t="shared" si="2"/>
        <v>0621</v>
      </c>
      <c r="T38" s="20">
        <f t="shared" si="3"/>
        <v>0</v>
      </c>
      <c r="V38" s="46" t="s">
        <v>841</v>
      </c>
      <c r="W38" s="26">
        <v>2360475</v>
      </c>
      <c r="X38" s="21" t="str">
        <f t="shared" si="4"/>
        <v>0621</v>
      </c>
      <c r="Y38" s="44" t="str">
        <f t="shared" si="5"/>
        <v>0621</v>
      </c>
      <c r="Z38" s="45">
        <f t="shared" si="6"/>
        <v>0</v>
      </c>
    </row>
    <row r="39" spans="1:26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434336</v>
      </c>
      <c r="D39" s="164">
        <f>INDEX(Data[],MATCH($A39,Data[Dist],0),MATCH(D$6,Data[#Headers],0))</f>
        <v>430689</v>
      </c>
      <c r="E39" s="164">
        <f>INDEX(Data[],MATCH($A39,Data[Dist],0),MATCH(E$6,Data[#Headers],0))</f>
        <v>430689</v>
      </c>
      <c r="F39" s="164">
        <f>INDEX(Data[],MATCH($A39,Data[Dist],0),MATCH(F$6,Data[#Headers],0))</f>
        <v>430689</v>
      </c>
      <c r="G39" s="22">
        <f>INDEX(Data[],MATCH($A39,Data[Dist],0),MATCH(G$6,Data[#Headers],0))</f>
        <v>4321478</v>
      </c>
      <c r="H39" s="22">
        <f>INDEX(Data[],MATCH($A39,Data[Dist],0),MATCH(H$6,Data[#Headers],0))-G39</f>
        <v>0</v>
      </c>
      <c r="I39" s="25"/>
      <c r="J39" s="22">
        <f>INDEX(Notes!$I$2:$N$11,MATCH(Notes!$B$2,Notes!$I$2:$I$11,0),4)*$C39</f>
        <v>1737344</v>
      </c>
      <c r="K39" s="22">
        <f>INDEX(Notes!$I$2:$N$11,MATCH(Notes!$B$2,Notes!$I$2:$I$11,0),5)*$D39</f>
        <v>861378</v>
      </c>
      <c r="L39" s="22">
        <f>INDEX(Notes!$I$2:$N$11,MATCH(Notes!$B$2,Notes!$I$2:$I$11,0),6)*$E39</f>
        <v>1292067</v>
      </c>
      <c r="M39" s="22">
        <f>IF(Notes!$B$2="June",'Payment Total'!$F39,0)</f>
        <v>430689</v>
      </c>
      <c r="N39" s="22">
        <f t="shared" si="0"/>
        <v>0</v>
      </c>
      <c r="P39" s="26">
        <v>6570000</v>
      </c>
      <c r="Q39" s="26">
        <v>430689</v>
      </c>
      <c r="R39" s="21" t="str">
        <f t="shared" si="1"/>
        <v>0657</v>
      </c>
      <c r="S39" s="44" t="str">
        <f t="shared" si="2"/>
        <v>0657</v>
      </c>
      <c r="T39" s="20">
        <f t="shared" si="3"/>
        <v>0</v>
      </c>
      <c r="V39" s="46" t="s">
        <v>911</v>
      </c>
      <c r="W39" s="26">
        <v>430689</v>
      </c>
      <c r="X39" s="21" t="str">
        <f t="shared" si="4"/>
        <v>0657</v>
      </c>
      <c r="Y39" s="44" t="str">
        <f t="shared" si="5"/>
        <v>0657</v>
      </c>
      <c r="Z39" s="45">
        <f t="shared" si="6"/>
        <v>0</v>
      </c>
    </row>
    <row r="40" spans="1:26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1362572</v>
      </c>
      <c r="D40" s="164">
        <f>INDEX(Data[],MATCH($A40,Data[Dist],0),MATCH(D$6,Data[#Headers],0))</f>
        <v>1354289</v>
      </c>
      <c r="E40" s="164">
        <f>INDEX(Data[],MATCH($A40,Data[Dist],0),MATCH(E$6,Data[#Headers],0))</f>
        <v>1354289</v>
      </c>
      <c r="F40" s="164">
        <f>INDEX(Data[],MATCH($A40,Data[Dist],0),MATCH(F$6,Data[#Headers],0))</f>
        <v>1354289</v>
      </c>
      <c r="G40" s="22">
        <f>INDEX(Data[],MATCH($A40,Data[Dist],0),MATCH(G$6,Data[#Headers],0))</f>
        <v>13576022</v>
      </c>
      <c r="H40" s="22">
        <f>INDEX(Data[],MATCH($A40,Data[Dist],0),MATCH(H$6,Data[#Headers],0))-G40</f>
        <v>0</v>
      </c>
      <c r="I40" s="25"/>
      <c r="J40" s="22">
        <f>INDEX(Notes!$I$2:$N$11,MATCH(Notes!$B$2,Notes!$I$2:$I$11,0),4)*$C40</f>
        <v>5450288</v>
      </c>
      <c r="K40" s="22">
        <f>INDEX(Notes!$I$2:$N$11,MATCH(Notes!$B$2,Notes!$I$2:$I$11,0),5)*$D40</f>
        <v>2708578</v>
      </c>
      <c r="L40" s="22">
        <f>INDEX(Notes!$I$2:$N$11,MATCH(Notes!$B$2,Notes!$I$2:$I$11,0),6)*$E40</f>
        <v>4062867</v>
      </c>
      <c r="M40" s="22">
        <f>IF(Notes!$B$2="June",'Payment Total'!$F40,0)</f>
        <v>1354289</v>
      </c>
      <c r="N40" s="22">
        <f t="shared" si="0"/>
        <v>0</v>
      </c>
      <c r="P40" s="26">
        <v>7200000</v>
      </c>
      <c r="Q40" s="26">
        <v>1354289</v>
      </c>
      <c r="R40" s="21" t="str">
        <f t="shared" si="1"/>
        <v>0720</v>
      </c>
      <c r="S40" s="44" t="str">
        <f t="shared" si="2"/>
        <v>0720</v>
      </c>
      <c r="T40" s="20">
        <f t="shared" si="3"/>
        <v>0</v>
      </c>
      <c r="V40" s="46" t="s">
        <v>842</v>
      </c>
      <c r="W40" s="26">
        <v>1354289</v>
      </c>
      <c r="X40" s="21" t="str">
        <f t="shared" si="4"/>
        <v>0720</v>
      </c>
      <c r="Y40" s="44" t="str">
        <f t="shared" si="5"/>
        <v>0720</v>
      </c>
      <c r="Z40" s="45">
        <f t="shared" si="6"/>
        <v>0</v>
      </c>
    </row>
    <row r="41" spans="1:26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1403518</v>
      </c>
      <c r="D41" s="164">
        <f>INDEX(Data[],MATCH($A41,Data[Dist],0),MATCH(D$6,Data[#Headers],0))</f>
        <v>1394970</v>
      </c>
      <c r="E41" s="164">
        <f>INDEX(Data[],MATCH($A41,Data[Dist],0),MATCH(E$6,Data[#Headers],0))</f>
        <v>1394970</v>
      </c>
      <c r="F41" s="164">
        <f>INDEX(Data[],MATCH($A41,Data[Dist],0),MATCH(F$6,Data[#Headers],0))</f>
        <v>1394970</v>
      </c>
      <c r="G41" s="22">
        <f>INDEX(Data[],MATCH($A41,Data[Dist],0),MATCH(G$6,Data[#Headers],0))</f>
        <v>13983892</v>
      </c>
      <c r="H41" s="22">
        <f>INDEX(Data[],MATCH($A41,Data[Dist],0),MATCH(H$6,Data[#Headers],0))-G41</f>
        <v>0</v>
      </c>
      <c r="I41" s="25"/>
      <c r="J41" s="22">
        <f>INDEX(Notes!$I$2:$N$11,MATCH(Notes!$B$2,Notes!$I$2:$I$11,0),4)*$C41</f>
        <v>5614072</v>
      </c>
      <c r="K41" s="22">
        <f>INDEX(Notes!$I$2:$N$11,MATCH(Notes!$B$2,Notes!$I$2:$I$11,0),5)*$D41</f>
        <v>2789940</v>
      </c>
      <c r="L41" s="22">
        <f>INDEX(Notes!$I$2:$N$11,MATCH(Notes!$B$2,Notes!$I$2:$I$11,0),6)*$E41</f>
        <v>4184910</v>
      </c>
      <c r="M41" s="22">
        <f>IF(Notes!$B$2="June",'Payment Total'!$F41,0)</f>
        <v>1394970</v>
      </c>
      <c r="N41" s="22">
        <f t="shared" si="0"/>
        <v>0</v>
      </c>
      <c r="P41" s="26">
        <v>7290000</v>
      </c>
      <c r="Q41" s="26">
        <v>1394970</v>
      </c>
      <c r="R41" s="21" t="str">
        <f t="shared" si="1"/>
        <v>0729</v>
      </c>
      <c r="S41" s="44" t="str">
        <f t="shared" si="2"/>
        <v>0729</v>
      </c>
      <c r="T41" s="20">
        <f t="shared" si="3"/>
        <v>0</v>
      </c>
      <c r="V41" s="46" t="s">
        <v>843</v>
      </c>
      <c r="W41" s="26">
        <v>1394970</v>
      </c>
      <c r="X41" s="21" t="str">
        <f t="shared" si="4"/>
        <v>0729</v>
      </c>
      <c r="Y41" s="44" t="str">
        <f t="shared" si="5"/>
        <v>0729</v>
      </c>
      <c r="Z41" s="45">
        <f t="shared" si="6"/>
        <v>0</v>
      </c>
    </row>
    <row r="42" spans="1:26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342017</v>
      </c>
      <c r="D42" s="164">
        <f>INDEX(Data[],MATCH($A42,Data[Dist],0),MATCH(D$6,Data[#Headers],0))</f>
        <v>339535</v>
      </c>
      <c r="E42" s="164">
        <f>INDEX(Data[],MATCH($A42,Data[Dist],0),MATCH(E$6,Data[#Headers],0))</f>
        <v>339534</v>
      </c>
      <c r="F42" s="164">
        <f>INDEX(Data[],MATCH($A42,Data[Dist],0),MATCH(F$6,Data[#Headers],0))</f>
        <v>339535</v>
      </c>
      <c r="G42" s="22">
        <f>INDEX(Data[],MATCH($A42,Data[Dist],0),MATCH(G$6,Data[#Headers],0))</f>
        <v>3405275</v>
      </c>
      <c r="H42" s="22">
        <f>INDEX(Data[],MATCH($A42,Data[Dist],0),MATCH(H$6,Data[#Headers],0))-G42</f>
        <v>0</v>
      </c>
      <c r="I42" s="25"/>
      <c r="J42" s="22">
        <f>INDEX(Notes!$I$2:$N$11,MATCH(Notes!$B$2,Notes!$I$2:$I$11,0),4)*$C42</f>
        <v>1368068</v>
      </c>
      <c r="K42" s="22">
        <f>INDEX(Notes!$I$2:$N$11,MATCH(Notes!$B$2,Notes!$I$2:$I$11,0),5)*$D42</f>
        <v>679070</v>
      </c>
      <c r="L42" s="22">
        <f>INDEX(Notes!$I$2:$N$11,MATCH(Notes!$B$2,Notes!$I$2:$I$11,0),6)*$E42</f>
        <v>1018602</v>
      </c>
      <c r="M42" s="22">
        <f>IF(Notes!$B$2="June",'Payment Total'!$F42,0)</f>
        <v>339535</v>
      </c>
      <c r="N42" s="22">
        <f t="shared" si="0"/>
        <v>0</v>
      </c>
      <c r="P42" s="26">
        <v>7470000</v>
      </c>
      <c r="Q42" s="26">
        <v>339535</v>
      </c>
      <c r="R42" s="21" t="str">
        <f t="shared" si="1"/>
        <v>0747</v>
      </c>
      <c r="S42" s="44" t="str">
        <f t="shared" si="2"/>
        <v>0747</v>
      </c>
      <c r="T42" s="20">
        <f t="shared" si="3"/>
        <v>0</v>
      </c>
      <c r="V42" s="46" t="s">
        <v>844</v>
      </c>
      <c r="W42" s="26">
        <v>339535</v>
      </c>
      <c r="X42" s="21" t="str">
        <f t="shared" si="4"/>
        <v>0747</v>
      </c>
      <c r="Y42" s="44" t="str">
        <f t="shared" si="5"/>
        <v>0747</v>
      </c>
      <c r="Z42" s="45">
        <f t="shared" si="6"/>
        <v>0</v>
      </c>
    </row>
    <row r="43" spans="1:26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264206</v>
      </c>
      <c r="D43" s="164">
        <f>INDEX(Data[],MATCH($A43,Data[Dist],0),MATCH(D$6,Data[#Headers],0))</f>
        <v>261938</v>
      </c>
      <c r="E43" s="164">
        <f>INDEX(Data[],MATCH($A43,Data[Dist],0),MATCH(E$6,Data[#Headers],0))</f>
        <v>261939</v>
      </c>
      <c r="F43" s="164">
        <f>INDEX(Data[],MATCH($A43,Data[Dist],0),MATCH(F$6,Data[#Headers],0))</f>
        <v>261937</v>
      </c>
      <c r="G43" s="22">
        <f>INDEX(Data[],MATCH($A43,Data[Dist],0),MATCH(G$6,Data[#Headers],0))</f>
        <v>2628454</v>
      </c>
      <c r="H43" s="22">
        <f>INDEX(Data[],MATCH($A43,Data[Dist],0),MATCH(H$6,Data[#Headers],0))-G43</f>
        <v>0</v>
      </c>
      <c r="I43" s="25"/>
      <c r="J43" s="22">
        <f>INDEX(Notes!$I$2:$N$11,MATCH(Notes!$B$2,Notes!$I$2:$I$11,0),4)*$C43</f>
        <v>1056824</v>
      </c>
      <c r="K43" s="22">
        <f>INDEX(Notes!$I$2:$N$11,MATCH(Notes!$B$2,Notes!$I$2:$I$11,0),5)*$D43</f>
        <v>523876</v>
      </c>
      <c r="L43" s="22">
        <f>INDEX(Notes!$I$2:$N$11,MATCH(Notes!$B$2,Notes!$I$2:$I$11,0),6)*$E43</f>
        <v>785817</v>
      </c>
      <c r="M43" s="22">
        <f>IF(Notes!$B$2="June",'Payment Total'!$F43,0)</f>
        <v>261937</v>
      </c>
      <c r="N43" s="22">
        <f t="shared" si="0"/>
        <v>0</v>
      </c>
      <c r="P43" s="26">
        <v>8190000</v>
      </c>
      <c r="Q43" s="26">
        <v>261937</v>
      </c>
      <c r="R43" s="21" t="str">
        <f t="shared" si="1"/>
        <v>0819</v>
      </c>
      <c r="S43" s="44" t="str">
        <f t="shared" si="2"/>
        <v>0819</v>
      </c>
      <c r="T43" s="20">
        <f t="shared" si="3"/>
        <v>0</v>
      </c>
      <c r="V43" s="46" t="s">
        <v>1125</v>
      </c>
      <c r="W43" s="26">
        <v>261937</v>
      </c>
      <c r="X43" s="21" t="str">
        <f t="shared" si="4"/>
        <v>0819</v>
      </c>
      <c r="Y43" s="44" t="str">
        <f t="shared" si="5"/>
        <v>0819</v>
      </c>
      <c r="Z43" s="45">
        <f t="shared" si="6"/>
        <v>0</v>
      </c>
    </row>
    <row r="44" spans="1:26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332480</v>
      </c>
      <c r="D44" s="164">
        <f>INDEX(Data[],MATCH($A44,Data[Dist],0),MATCH(D$6,Data[#Headers],0))</f>
        <v>330135</v>
      </c>
      <c r="E44" s="164">
        <f>INDEX(Data[],MATCH($A44,Data[Dist],0),MATCH(E$6,Data[#Headers],0))</f>
        <v>330136</v>
      </c>
      <c r="F44" s="164">
        <f>INDEX(Data[],MATCH($A44,Data[Dist],0),MATCH(F$6,Data[#Headers],0))</f>
        <v>330134</v>
      </c>
      <c r="G44" s="22">
        <f>INDEX(Data[],MATCH($A44,Data[Dist],0),MATCH(G$6,Data[#Headers],0))</f>
        <v>3310732</v>
      </c>
      <c r="H44" s="22">
        <f>INDEX(Data[],MATCH($A44,Data[Dist],0),MATCH(H$6,Data[#Headers],0))-G44</f>
        <v>0</v>
      </c>
      <c r="I44" s="25"/>
      <c r="J44" s="22">
        <f>INDEX(Notes!$I$2:$N$11,MATCH(Notes!$B$2,Notes!$I$2:$I$11,0),4)*$C44</f>
        <v>1329920</v>
      </c>
      <c r="K44" s="22">
        <f>INDEX(Notes!$I$2:$N$11,MATCH(Notes!$B$2,Notes!$I$2:$I$11,0),5)*$D44</f>
        <v>660270</v>
      </c>
      <c r="L44" s="22">
        <f>INDEX(Notes!$I$2:$N$11,MATCH(Notes!$B$2,Notes!$I$2:$I$11,0),6)*$E44</f>
        <v>990408</v>
      </c>
      <c r="M44" s="22">
        <f>IF(Notes!$B$2="June",'Payment Total'!$F44,0)</f>
        <v>330134</v>
      </c>
      <c r="N44" s="22">
        <f t="shared" si="0"/>
        <v>0</v>
      </c>
      <c r="P44" s="26">
        <v>8460000</v>
      </c>
      <c r="Q44" s="26">
        <v>330134</v>
      </c>
      <c r="R44" s="21" t="str">
        <f t="shared" si="1"/>
        <v>0846</v>
      </c>
      <c r="S44" s="44" t="str">
        <f t="shared" si="2"/>
        <v>0846</v>
      </c>
      <c r="T44" s="20">
        <f t="shared" si="3"/>
        <v>0</v>
      </c>
      <c r="V44" s="46" t="s">
        <v>846</v>
      </c>
      <c r="W44" s="26">
        <v>330134</v>
      </c>
      <c r="X44" s="21" t="str">
        <f t="shared" si="4"/>
        <v>0846</v>
      </c>
      <c r="Y44" s="44" t="str">
        <f t="shared" si="5"/>
        <v>0846</v>
      </c>
      <c r="Z44" s="45">
        <f t="shared" si="6"/>
        <v>0</v>
      </c>
    </row>
    <row r="45" spans="1:26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207526</v>
      </c>
      <c r="D45" s="164">
        <f>INDEX(Data[],MATCH($A45,Data[Dist],0),MATCH(D$6,Data[#Headers],0))</f>
        <v>205630</v>
      </c>
      <c r="E45" s="164">
        <f>INDEX(Data[],MATCH($A45,Data[Dist],0),MATCH(E$6,Data[#Headers],0))</f>
        <v>205630</v>
      </c>
      <c r="F45" s="164">
        <f>INDEX(Data[],MATCH($A45,Data[Dist],0),MATCH(F$6,Data[#Headers],0))</f>
        <v>205631</v>
      </c>
      <c r="G45" s="22">
        <f>INDEX(Data[],MATCH($A45,Data[Dist],0),MATCH(G$6,Data[#Headers],0))</f>
        <v>2063885</v>
      </c>
      <c r="H45" s="22">
        <f>INDEX(Data[],MATCH($A45,Data[Dist],0),MATCH(H$6,Data[#Headers],0))-G45</f>
        <v>0</v>
      </c>
      <c r="I45" s="25"/>
      <c r="J45" s="22">
        <f>INDEX(Notes!$I$2:$N$11,MATCH(Notes!$B$2,Notes!$I$2:$I$11,0),4)*$C45</f>
        <v>830104</v>
      </c>
      <c r="K45" s="22">
        <f>INDEX(Notes!$I$2:$N$11,MATCH(Notes!$B$2,Notes!$I$2:$I$11,0),5)*$D45</f>
        <v>411260</v>
      </c>
      <c r="L45" s="22">
        <f>INDEX(Notes!$I$2:$N$11,MATCH(Notes!$B$2,Notes!$I$2:$I$11,0),6)*$E45</f>
        <v>616890</v>
      </c>
      <c r="M45" s="22">
        <f>IF(Notes!$B$2="June",'Payment Total'!$F45,0)</f>
        <v>205631</v>
      </c>
      <c r="N45" s="22">
        <f t="shared" si="0"/>
        <v>0</v>
      </c>
      <c r="P45" s="26">
        <v>8730000</v>
      </c>
      <c r="Q45" s="26">
        <v>205631</v>
      </c>
      <c r="R45" s="21" t="str">
        <f t="shared" si="1"/>
        <v>0873</v>
      </c>
      <c r="S45" s="44" t="str">
        <f t="shared" si="2"/>
        <v>0873</v>
      </c>
      <c r="T45" s="20">
        <f t="shared" si="3"/>
        <v>0</v>
      </c>
      <c r="V45" s="46" t="s">
        <v>1018</v>
      </c>
      <c r="W45" s="26">
        <v>205631</v>
      </c>
      <c r="X45" s="21" t="str">
        <f t="shared" si="4"/>
        <v>0873</v>
      </c>
      <c r="Y45" s="44" t="str">
        <f t="shared" si="5"/>
        <v>0873</v>
      </c>
      <c r="Z45" s="45">
        <f t="shared" si="6"/>
        <v>0</v>
      </c>
    </row>
    <row r="46" spans="1:26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3036657</v>
      </c>
      <c r="D46" s="164">
        <f>INDEX(Data[],MATCH($A46,Data[Dist],0),MATCH(D$6,Data[#Headers],0))</f>
        <v>3018909</v>
      </c>
      <c r="E46" s="164">
        <f>INDEX(Data[],MATCH($A46,Data[Dist],0),MATCH(E$6,Data[#Headers],0))</f>
        <v>2758866</v>
      </c>
      <c r="F46" s="164">
        <f>INDEX(Data[],MATCH($A46,Data[Dist],0),MATCH(F$6,Data[#Headers],0))</f>
        <v>2758867</v>
      </c>
      <c r="G46" s="22">
        <f>INDEX(Data[],MATCH($A46,Data[Dist],0),MATCH(G$6,Data[#Headers],0))</f>
        <v>29219911</v>
      </c>
      <c r="H46" s="22">
        <f>INDEX(Data[],MATCH($A46,Data[Dist],0),MATCH(H$6,Data[#Headers],0))-G46</f>
        <v>0</v>
      </c>
      <c r="I46" s="25"/>
      <c r="J46" s="22">
        <f>INDEX(Notes!$I$2:$N$11,MATCH(Notes!$B$2,Notes!$I$2:$I$11,0),4)*$C46</f>
        <v>12146628</v>
      </c>
      <c r="K46" s="22">
        <f>INDEX(Notes!$I$2:$N$11,MATCH(Notes!$B$2,Notes!$I$2:$I$11,0),5)*$D46</f>
        <v>6037818</v>
      </c>
      <c r="L46" s="22">
        <f>INDEX(Notes!$I$2:$N$11,MATCH(Notes!$B$2,Notes!$I$2:$I$11,0),6)*$E46</f>
        <v>8276598</v>
      </c>
      <c r="M46" s="22">
        <f>IF(Notes!$B$2="June",'Payment Total'!$F46,0)</f>
        <v>2758867</v>
      </c>
      <c r="N46" s="22">
        <f t="shared" si="0"/>
        <v>0</v>
      </c>
      <c r="P46" s="26">
        <v>8820000</v>
      </c>
      <c r="Q46" s="26">
        <v>2758867</v>
      </c>
      <c r="R46" s="21" t="str">
        <f t="shared" si="1"/>
        <v>0882</v>
      </c>
      <c r="S46" s="44" t="str">
        <f t="shared" si="2"/>
        <v>0882</v>
      </c>
      <c r="T46" s="20">
        <f t="shared" si="3"/>
        <v>0</v>
      </c>
      <c r="V46" s="46" t="s">
        <v>847</v>
      </c>
      <c r="W46" s="26">
        <v>2758867</v>
      </c>
      <c r="X46" s="21" t="str">
        <f t="shared" si="4"/>
        <v>0882</v>
      </c>
      <c r="Y46" s="44" t="str">
        <f t="shared" si="5"/>
        <v>0882</v>
      </c>
      <c r="Z46" s="45">
        <f t="shared" si="6"/>
        <v>0</v>
      </c>
    </row>
    <row r="47" spans="1:26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177052</v>
      </c>
      <c r="D47" s="164">
        <f>INDEX(Data[],MATCH($A47,Data[Dist],0),MATCH(D$6,Data[#Headers],0))</f>
        <v>174984</v>
      </c>
      <c r="E47" s="164">
        <f>INDEX(Data[],MATCH($A47,Data[Dist],0),MATCH(E$6,Data[#Headers],0))</f>
        <v>174984</v>
      </c>
      <c r="F47" s="164">
        <f>INDEX(Data[],MATCH($A47,Data[Dist],0),MATCH(F$6,Data[#Headers],0))</f>
        <v>174982</v>
      </c>
      <c r="G47" s="22">
        <f>INDEX(Data[],MATCH($A47,Data[Dist],0),MATCH(G$6,Data[#Headers],0))</f>
        <v>1758110</v>
      </c>
      <c r="H47" s="22">
        <f>INDEX(Data[],MATCH($A47,Data[Dist],0),MATCH(H$6,Data[#Headers],0))-G47</f>
        <v>0</v>
      </c>
      <c r="I47" s="25"/>
      <c r="J47" s="22">
        <f>INDEX(Notes!$I$2:$N$11,MATCH(Notes!$B$2,Notes!$I$2:$I$11,0),4)*$C47</f>
        <v>708208</v>
      </c>
      <c r="K47" s="22">
        <f>INDEX(Notes!$I$2:$N$11,MATCH(Notes!$B$2,Notes!$I$2:$I$11,0),5)*$D47</f>
        <v>349968</v>
      </c>
      <c r="L47" s="22">
        <f>INDEX(Notes!$I$2:$N$11,MATCH(Notes!$B$2,Notes!$I$2:$I$11,0),6)*$E47</f>
        <v>524952</v>
      </c>
      <c r="M47" s="22">
        <f>IF(Notes!$B$2="June",'Payment Total'!$F47,0)</f>
        <v>174982</v>
      </c>
      <c r="N47" s="22">
        <f t="shared" si="0"/>
        <v>0</v>
      </c>
      <c r="P47" s="26">
        <v>9140000</v>
      </c>
      <c r="Q47" s="26">
        <v>174982</v>
      </c>
      <c r="R47" s="21" t="str">
        <f t="shared" si="1"/>
        <v>0914</v>
      </c>
      <c r="S47" s="44" t="str">
        <f t="shared" si="2"/>
        <v>0914</v>
      </c>
      <c r="T47" s="20">
        <f t="shared" si="3"/>
        <v>0</v>
      </c>
      <c r="V47" s="46" t="s">
        <v>850</v>
      </c>
      <c r="W47" s="26">
        <v>174982</v>
      </c>
      <c r="X47" s="21" t="str">
        <f t="shared" si="4"/>
        <v>0914</v>
      </c>
      <c r="Y47" s="44" t="str">
        <f t="shared" si="5"/>
        <v>0914</v>
      </c>
      <c r="Z47" s="45">
        <f t="shared" si="6"/>
        <v>0</v>
      </c>
    </row>
    <row r="48" spans="1:26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157455</v>
      </c>
      <c r="D48" s="164">
        <f>INDEX(Data[],MATCH($A48,Data[Dist],0),MATCH(D$6,Data[#Headers],0))</f>
        <v>156386</v>
      </c>
      <c r="E48" s="164">
        <f>INDEX(Data[],MATCH($A48,Data[Dist],0),MATCH(E$6,Data[#Headers],0))</f>
        <v>156385</v>
      </c>
      <c r="F48" s="164">
        <f>INDEX(Data[],MATCH($A48,Data[Dist],0),MATCH(F$6,Data[#Headers],0))</f>
        <v>156386</v>
      </c>
      <c r="G48" s="22">
        <f>INDEX(Data[],MATCH($A48,Data[Dist],0),MATCH(G$6,Data[#Headers],0))</f>
        <v>1568133</v>
      </c>
      <c r="H48" s="22">
        <f>INDEX(Data[],MATCH($A48,Data[Dist],0),MATCH(H$6,Data[#Headers],0))-G48</f>
        <v>0</v>
      </c>
      <c r="I48" s="25"/>
      <c r="J48" s="22">
        <f>INDEX(Notes!$I$2:$N$11,MATCH(Notes!$B$2,Notes!$I$2:$I$11,0),4)*$C48</f>
        <v>629820</v>
      </c>
      <c r="K48" s="22">
        <f>INDEX(Notes!$I$2:$N$11,MATCH(Notes!$B$2,Notes!$I$2:$I$11,0),5)*$D48</f>
        <v>312772</v>
      </c>
      <c r="L48" s="22">
        <f>INDEX(Notes!$I$2:$N$11,MATCH(Notes!$B$2,Notes!$I$2:$I$11,0),6)*$E48</f>
        <v>469155</v>
      </c>
      <c r="M48" s="22">
        <f>IF(Notes!$B$2="June",'Payment Total'!$F48,0)</f>
        <v>156386</v>
      </c>
      <c r="N48" s="22">
        <f t="shared" si="0"/>
        <v>0</v>
      </c>
      <c r="P48" s="26">
        <v>9160000</v>
      </c>
      <c r="Q48" s="26">
        <v>156386</v>
      </c>
      <c r="R48" s="21" t="str">
        <f t="shared" si="1"/>
        <v>0916</v>
      </c>
      <c r="S48" s="44" t="str">
        <f t="shared" si="2"/>
        <v>0916</v>
      </c>
      <c r="T48" s="20">
        <f t="shared" si="3"/>
        <v>0</v>
      </c>
      <c r="V48" s="46" t="s">
        <v>848</v>
      </c>
      <c r="W48" s="26">
        <v>156386</v>
      </c>
      <c r="X48" s="21" t="str">
        <f t="shared" si="4"/>
        <v>0916</v>
      </c>
      <c r="Y48" s="44" t="str">
        <f t="shared" si="5"/>
        <v>0916</v>
      </c>
      <c r="Z48" s="45">
        <f t="shared" si="6"/>
        <v>0</v>
      </c>
    </row>
    <row r="49" spans="1:26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252346</v>
      </c>
      <c r="D49" s="164">
        <f>INDEX(Data[],MATCH($A49,Data[Dist],0),MATCH(D$6,Data[#Headers],0))</f>
        <v>250525</v>
      </c>
      <c r="E49" s="164">
        <f>INDEX(Data[],MATCH($A49,Data[Dist],0),MATCH(E$6,Data[#Headers],0))</f>
        <v>250525</v>
      </c>
      <c r="F49" s="164">
        <f>INDEX(Data[],MATCH($A49,Data[Dist],0),MATCH(F$6,Data[#Headers],0))</f>
        <v>250523</v>
      </c>
      <c r="G49" s="22">
        <f>INDEX(Data[],MATCH($A49,Data[Dist],0),MATCH(G$6,Data[#Headers],0))</f>
        <v>2512532</v>
      </c>
      <c r="H49" s="22">
        <f>INDEX(Data[],MATCH($A49,Data[Dist],0),MATCH(H$6,Data[#Headers],0))-G49</f>
        <v>0</v>
      </c>
      <c r="I49" s="25"/>
      <c r="J49" s="22">
        <f>INDEX(Notes!$I$2:$N$11,MATCH(Notes!$B$2,Notes!$I$2:$I$11,0),4)*$C49</f>
        <v>1009384</v>
      </c>
      <c r="K49" s="22">
        <f>INDEX(Notes!$I$2:$N$11,MATCH(Notes!$B$2,Notes!$I$2:$I$11,0),5)*$D49</f>
        <v>501050</v>
      </c>
      <c r="L49" s="22">
        <f>INDEX(Notes!$I$2:$N$11,MATCH(Notes!$B$2,Notes!$I$2:$I$11,0),6)*$E49</f>
        <v>751575</v>
      </c>
      <c r="M49" s="22">
        <f>IF(Notes!$B$2="June",'Payment Total'!$F49,0)</f>
        <v>250523</v>
      </c>
      <c r="N49" s="22">
        <f t="shared" si="0"/>
        <v>0</v>
      </c>
      <c r="P49" s="26">
        <v>9180000</v>
      </c>
      <c r="Q49" s="26">
        <v>250523</v>
      </c>
      <c r="R49" s="21" t="str">
        <f t="shared" si="1"/>
        <v>0918</v>
      </c>
      <c r="S49" s="44" t="str">
        <f t="shared" si="2"/>
        <v>0918</v>
      </c>
      <c r="T49" s="20">
        <f t="shared" si="3"/>
        <v>0</v>
      </c>
      <c r="V49" s="46" t="s">
        <v>849</v>
      </c>
      <c r="W49" s="26">
        <v>250523</v>
      </c>
      <c r="X49" s="21" t="str">
        <f t="shared" si="4"/>
        <v>0918</v>
      </c>
      <c r="Y49" s="44" t="str">
        <f t="shared" si="5"/>
        <v>0918</v>
      </c>
      <c r="Z49" s="45">
        <f t="shared" si="6"/>
        <v>0</v>
      </c>
    </row>
    <row r="50" spans="1:26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482899</v>
      </c>
      <c r="D50" s="164">
        <f>INDEX(Data[],MATCH($A50,Data[Dist],0),MATCH(D$6,Data[#Headers],0))</f>
        <v>479406</v>
      </c>
      <c r="E50" s="164">
        <f>INDEX(Data[],MATCH($A50,Data[Dist],0),MATCH(E$6,Data[#Headers],0))</f>
        <v>479405</v>
      </c>
      <c r="F50" s="164">
        <f>INDEX(Data[],MATCH($A50,Data[Dist],0),MATCH(F$6,Data[#Headers],0))</f>
        <v>479406</v>
      </c>
      <c r="G50" s="22">
        <f>INDEX(Data[],MATCH($A50,Data[Dist],0),MATCH(G$6,Data[#Headers],0))</f>
        <v>4808029</v>
      </c>
      <c r="H50" s="22">
        <f>INDEX(Data[],MATCH($A50,Data[Dist],0),MATCH(H$6,Data[#Headers],0))-G50</f>
        <v>0</v>
      </c>
      <c r="I50" s="25"/>
      <c r="J50" s="22">
        <f>INDEX(Notes!$I$2:$N$11,MATCH(Notes!$B$2,Notes!$I$2:$I$11,0),4)*$C50</f>
        <v>1931596</v>
      </c>
      <c r="K50" s="22">
        <f>INDEX(Notes!$I$2:$N$11,MATCH(Notes!$B$2,Notes!$I$2:$I$11,0),5)*$D50</f>
        <v>958812</v>
      </c>
      <c r="L50" s="22">
        <f>INDEX(Notes!$I$2:$N$11,MATCH(Notes!$B$2,Notes!$I$2:$I$11,0),6)*$E50</f>
        <v>1438215</v>
      </c>
      <c r="M50" s="22">
        <f>IF(Notes!$B$2="June",'Payment Total'!$F50,0)</f>
        <v>479406</v>
      </c>
      <c r="N50" s="22">
        <f t="shared" si="0"/>
        <v>0</v>
      </c>
      <c r="P50" s="26">
        <v>9360000</v>
      </c>
      <c r="Q50" s="26">
        <v>479406</v>
      </c>
      <c r="R50" s="21" t="str">
        <f t="shared" si="1"/>
        <v>0936</v>
      </c>
      <c r="S50" s="44" t="str">
        <f t="shared" si="2"/>
        <v>0936</v>
      </c>
      <c r="T50" s="20">
        <f t="shared" si="3"/>
        <v>0</v>
      </c>
      <c r="V50" s="46" t="s">
        <v>851</v>
      </c>
      <c r="W50" s="26">
        <v>479406</v>
      </c>
      <c r="X50" s="21" t="str">
        <f t="shared" si="4"/>
        <v>0936</v>
      </c>
      <c r="Y50" s="44" t="str">
        <f t="shared" si="5"/>
        <v>0936</v>
      </c>
      <c r="Z50" s="45">
        <f t="shared" si="6"/>
        <v>0</v>
      </c>
    </row>
    <row r="51" spans="1:26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391965</v>
      </c>
      <c r="D51" s="164">
        <f>INDEX(Data[],MATCH($A51,Data[Dist],0),MATCH(D$6,Data[#Headers],0))</f>
        <v>389576</v>
      </c>
      <c r="E51" s="164">
        <f>INDEX(Data[],MATCH($A51,Data[Dist],0),MATCH(E$6,Data[#Headers],0))</f>
        <v>389576</v>
      </c>
      <c r="F51" s="164">
        <f>INDEX(Data[],MATCH($A51,Data[Dist],0),MATCH(F$6,Data[#Headers],0))</f>
        <v>389577</v>
      </c>
      <c r="G51" s="22">
        <f>INDEX(Data[],MATCH($A51,Data[Dist],0),MATCH(G$6,Data[#Headers],0))</f>
        <v>3905317</v>
      </c>
      <c r="H51" s="22">
        <f>INDEX(Data[],MATCH($A51,Data[Dist],0),MATCH(H$6,Data[#Headers],0))-G51</f>
        <v>0</v>
      </c>
      <c r="I51" s="25"/>
      <c r="J51" s="22">
        <f>INDEX(Notes!$I$2:$N$11,MATCH(Notes!$B$2,Notes!$I$2:$I$11,0),4)*$C51</f>
        <v>1567860</v>
      </c>
      <c r="K51" s="22">
        <f>INDEX(Notes!$I$2:$N$11,MATCH(Notes!$B$2,Notes!$I$2:$I$11,0),5)*$D51</f>
        <v>779152</v>
      </c>
      <c r="L51" s="22">
        <f>INDEX(Notes!$I$2:$N$11,MATCH(Notes!$B$2,Notes!$I$2:$I$11,0),6)*$E51</f>
        <v>1168728</v>
      </c>
      <c r="M51" s="22">
        <f>IF(Notes!$B$2="June",'Payment Total'!$F51,0)</f>
        <v>389577</v>
      </c>
      <c r="N51" s="22">
        <f t="shared" si="0"/>
        <v>0</v>
      </c>
      <c r="P51" s="26">
        <v>9770000</v>
      </c>
      <c r="Q51" s="26">
        <v>389577</v>
      </c>
      <c r="R51" s="21" t="str">
        <f t="shared" si="1"/>
        <v>0977</v>
      </c>
      <c r="S51" s="44" t="str">
        <f t="shared" si="2"/>
        <v>0977</v>
      </c>
      <c r="T51" s="20">
        <f t="shared" si="3"/>
        <v>0</v>
      </c>
      <c r="V51" s="46" t="s">
        <v>852</v>
      </c>
      <c r="W51" s="26">
        <v>389577</v>
      </c>
      <c r="X51" s="21" t="str">
        <f t="shared" si="4"/>
        <v>0977</v>
      </c>
      <c r="Y51" s="44" t="str">
        <f t="shared" si="5"/>
        <v>0977</v>
      </c>
      <c r="Z51" s="45">
        <f t="shared" si="6"/>
        <v>0</v>
      </c>
    </row>
    <row r="52" spans="1:26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1372601</v>
      </c>
      <c r="D52" s="164">
        <f>INDEX(Data[],MATCH($A52,Data[Dist],0),MATCH(D$6,Data[#Headers],0))</f>
        <v>1364509</v>
      </c>
      <c r="E52" s="164">
        <f>INDEX(Data[],MATCH($A52,Data[Dist],0),MATCH(E$6,Data[#Headers],0))</f>
        <v>1364508</v>
      </c>
      <c r="F52" s="164">
        <f>INDEX(Data[],MATCH($A52,Data[Dist],0),MATCH(F$6,Data[#Headers],0))</f>
        <v>1364509</v>
      </c>
      <c r="G52" s="22">
        <f>INDEX(Data[],MATCH($A52,Data[Dist],0),MATCH(G$6,Data[#Headers],0))</f>
        <v>13677455</v>
      </c>
      <c r="H52" s="22">
        <f>INDEX(Data[],MATCH($A52,Data[Dist],0),MATCH(H$6,Data[#Headers],0))-G52</f>
        <v>0</v>
      </c>
      <c r="I52" s="25"/>
      <c r="J52" s="22">
        <f>INDEX(Notes!$I$2:$N$11,MATCH(Notes!$B$2,Notes!$I$2:$I$11,0),4)*$C52</f>
        <v>5490404</v>
      </c>
      <c r="K52" s="22">
        <f>INDEX(Notes!$I$2:$N$11,MATCH(Notes!$B$2,Notes!$I$2:$I$11,0),5)*$D52</f>
        <v>2729018</v>
      </c>
      <c r="L52" s="22">
        <f>INDEX(Notes!$I$2:$N$11,MATCH(Notes!$B$2,Notes!$I$2:$I$11,0),6)*$E52</f>
        <v>4093524</v>
      </c>
      <c r="M52" s="22">
        <f>IF(Notes!$B$2="June",'Payment Total'!$F52,0)</f>
        <v>1364509</v>
      </c>
      <c r="N52" s="22">
        <f t="shared" si="0"/>
        <v>0</v>
      </c>
      <c r="P52" s="26">
        <v>9810000</v>
      </c>
      <c r="Q52" s="26">
        <v>1364509</v>
      </c>
      <c r="R52" s="21" t="str">
        <f t="shared" si="1"/>
        <v>0981</v>
      </c>
      <c r="S52" s="44" t="str">
        <f t="shared" si="2"/>
        <v>0981</v>
      </c>
      <c r="T52" s="20">
        <f t="shared" si="3"/>
        <v>0</v>
      </c>
      <c r="V52" s="46" t="s">
        <v>853</v>
      </c>
      <c r="W52" s="26">
        <v>1364509</v>
      </c>
      <c r="X52" s="21" t="str">
        <f t="shared" si="4"/>
        <v>0981</v>
      </c>
      <c r="Y52" s="44" t="str">
        <f t="shared" si="5"/>
        <v>0981</v>
      </c>
      <c r="Z52" s="45">
        <f t="shared" si="6"/>
        <v>0</v>
      </c>
    </row>
    <row r="53" spans="1:26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828518</v>
      </c>
      <c r="D53" s="164">
        <f>INDEX(Data[],MATCH($A53,Data[Dist],0),MATCH(D$6,Data[#Headers],0))</f>
        <v>821437</v>
      </c>
      <c r="E53" s="164">
        <f>INDEX(Data[],MATCH($A53,Data[Dist],0),MATCH(E$6,Data[#Headers],0))</f>
        <v>821437</v>
      </c>
      <c r="F53" s="164">
        <f>INDEX(Data[],MATCH($A53,Data[Dist],0),MATCH(F$6,Data[#Headers],0))</f>
        <v>821435</v>
      </c>
      <c r="G53" s="22">
        <f>INDEX(Data[],MATCH($A53,Data[Dist],0),MATCH(G$6,Data[#Headers],0))</f>
        <v>8242692</v>
      </c>
      <c r="H53" s="22">
        <f>INDEX(Data[],MATCH($A53,Data[Dist],0),MATCH(H$6,Data[#Headers],0))-G53</f>
        <v>0</v>
      </c>
      <c r="I53" s="25"/>
      <c r="J53" s="22">
        <f>INDEX(Notes!$I$2:$N$11,MATCH(Notes!$B$2,Notes!$I$2:$I$11,0),4)*$C53</f>
        <v>3314072</v>
      </c>
      <c r="K53" s="22">
        <f>INDEX(Notes!$I$2:$N$11,MATCH(Notes!$B$2,Notes!$I$2:$I$11,0),5)*$D53</f>
        <v>1642874</v>
      </c>
      <c r="L53" s="22">
        <f>INDEX(Notes!$I$2:$N$11,MATCH(Notes!$B$2,Notes!$I$2:$I$11,0),6)*$E53</f>
        <v>2464311</v>
      </c>
      <c r="M53" s="22">
        <f>IF(Notes!$B$2="June",'Payment Total'!$F53,0)</f>
        <v>821435</v>
      </c>
      <c r="N53" s="22">
        <f t="shared" si="0"/>
        <v>0</v>
      </c>
      <c r="P53" s="26">
        <v>9990000</v>
      </c>
      <c r="Q53" s="26">
        <v>821435</v>
      </c>
      <c r="R53" s="21" t="str">
        <f t="shared" si="1"/>
        <v>0999</v>
      </c>
      <c r="S53" s="44" t="str">
        <f t="shared" si="2"/>
        <v>0999</v>
      </c>
      <c r="T53" s="20">
        <f t="shared" si="3"/>
        <v>0</v>
      </c>
      <c r="V53" s="46" t="s">
        <v>854</v>
      </c>
      <c r="W53" s="26">
        <v>821435</v>
      </c>
      <c r="X53" s="21" t="str">
        <f t="shared" si="4"/>
        <v>0999</v>
      </c>
      <c r="Y53" s="44" t="str">
        <f t="shared" si="5"/>
        <v>0999</v>
      </c>
      <c r="Z53" s="45">
        <f t="shared" si="6"/>
        <v>0</v>
      </c>
    </row>
    <row r="54" spans="1:26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2926267</v>
      </c>
      <c r="D54" s="164">
        <f>INDEX(Data[],MATCH($A54,Data[Dist],0),MATCH(D$6,Data[#Headers],0))</f>
        <v>2904920</v>
      </c>
      <c r="E54" s="164">
        <f>INDEX(Data[],MATCH($A54,Data[Dist],0),MATCH(E$6,Data[#Headers],0))</f>
        <v>2904920</v>
      </c>
      <c r="F54" s="164">
        <f>INDEX(Data[],MATCH($A54,Data[Dist],0),MATCH(F$6,Data[#Headers],0))</f>
        <v>2904918</v>
      </c>
      <c r="G54" s="22">
        <f>INDEX(Data[],MATCH($A54,Data[Dist],0),MATCH(G$6,Data[#Headers],0))</f>
        <v>29134586</v>
      </c>
      <c r="H54" s="22">
        <f>INDEX(Data[],MATCH($A54,Data[Dist],0),MATCH(H$6,Data[#Headers],0))-G54</f>
        <v>0</v>
      </c>
      <c r="I54" s="25"/>
      <c r="J54" s="22">
        <f>INDEX(Notes!$I$2:$N$11,MATCH(Notes!$B$2,Notes!$I$2:$I$11,0),4)*$C54</f>
        <v>11705068</v>
      </c>
      <c r="K54" s="22">
        <f>INDEX(Notes!$I$2:$N$11,MATCH(Notes!$B$2,Notes!$I$2:$I$11,0),5)*$D54</f>
        <v>5809840</v>
      </c>
      <c r="L54" s="22">
        <f>INDEX(Notes!$I$2:$N$11,MATCH(Notes!$B$2,Notes!$I$2:$I$11,0),6)*$E54</f>
        <v>8714760</v>
      </c>
      <c r="M54" s="22">
        <f>IF(Notes!$B$2="June",'Payment Total'!$F54,0)</f>
        <v>2904918</v>
      </c>
      <c r="N54" s="22">
        <f t="shared" si="0"/>
        <v>0</v>
      </c>
      <c r="P54" s="26">
        <v>10440000</v>
      </c>
      <c r="Q54" s="26">
        <v>2904918</v>
      </c>
      <c r="R54" s="21" t="str">
        <f t="shared" si="1"/>
        <v>1044</v>
      </c>
      <c r="S54" s="44" t="str">
        <f t="shared" si="2"/>
        <v>1044</v>
      </c>
      <c r="T54" s="20">
        <f t="shared" si="3"/>
        <v>0</v>
      </c>
      <c r="V54" s="46" t="s">
        <v>855</v>
      </c>
      <c r="W54" s="26">
        <v>2904918</v>
      </c>
      <c r="X54" s="21" t="str">
        <f t="shared" si="4"/>
        <v>1044</v>
      </c>
      <c r="Y54" s="44" t="str">
        <f t="shared" si="5"/>
        <v>1044</v>
      </c>
      <c r="Z54" s="45">
        <f t="shared" si="6"/>
        <v>0</v>
      </c>
    </row>
    <row r="55" spans="1:26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10503570</v>
      </c>
      <c r="D55" s="164">
        <f>INDEX(Data[],MATCH($A55,Data[Dist],0),MATCH(D$6,Data[#Headers],0))</f>
        <v>10432257</v>
      </c>
      <c r="E55" s="164">
        <f>INDEX(Data[],MATCH($A55,Data[Dist],0),MATCH(E$6,Data[#Headers],0))</f>
        <v>10432258</v>
      </c>
      <c r="F55" s="164">
        <f>INDEX(Data[],MATCH($A55,Data[Dist],0),MATCH(F$6,Data[#Headers],0))</f>
        <v>10432256</v>
      </c>
      <c r="G55" s="22">
        <f>INDEX(Data[],MATCH($A55,Data[Dist],0),MATCH(G$6,Data[#Headers],0))</f>
        <v>104607824</v>
      </c>
      <c r="H55" s="22">
        <f>INDEX(Data[],MATCH($A55,Data[Dist],0),MATCH(H$6,Data[#Headers],0))-G55</f>
        <v>0</v>
      </c>
      <c r="I55" s="25"/>
      <c r="J55" s="22">
        <f>INDEX(Notes!$I$2:$N$11,MATCH(Notes!$B$2,Notes!$I$2:$I$11,0),4)*$C55</f>
        <v>42014280</v>
      </c>
      <c r="K55" s="22">
        <f>INDEX(Notes!$I$2:$N$11,MATCH(Notes!$B$2,Notes!$I$2:$I$11,0),5)*$D55</f>
        <v>20864514</v>
      </c>
      <c r="L55" s="22">
        <f>INDEX(Notes!$I$2:$N$11,MATCH(Notes!$B$2,Notes!$I$2:$I$11,0),6)*$E55</f>
        <v>31296774</v>
      </c>
      <c r="M55" s="22">
        <f>IF(Notes!$B$2="June",'Payment Total'!$F55,0)</f>
        <v>10432256</v>
      </c>
      <c r="N55" s="22">
        <f t="shared" si="0"/>
        <v>0</v>
      </c>
      <c r="P55" s="26">
        <v>10530000</v>
      </c>
      <c r="Q55" s="26">
        <v>10432256</v>
      </c>
      <c r="R55" s="21" t="str">
        <f t="shared" si="1"/>
        <v>1053</v>
      </c>
      <c r="S55" s="44" t="str">
        <f t="shared" si="2"/>
        <v>1053</v>
      </c>
      <c r="T55" s="20">
        <f t="shared" si="3"/>
        <v>0</v>
      </c>
      <c r="V55" s="46" t="s">
        <v>856</v>
      </c>
      <c r="W55" s="26">
        <v>10432256</v>
      </c>
      <c r="X55" s="21" t="str">
        <f t="shared" si="4"/>
        <v>1053</v>
      </c>
      <c r="Y55" s="44" t="str">
        <f t="shared" si="5"/>
        <v>1053</v>
      </c>
      <c r="Z55" s="45">
        <f t="shared" si="6"/>
        <v>0</v>
      </c>
    </row>
    <row r="56" spans="1:26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920617</v>
      </c>
      <c r="D56" s="164">
        <f>INDEX(Data[],MATCH($A56,Data[Dist],0),MATCH(D$6,Data[#Headers],0))</f>
        <v>914970</v>
      </c>
      <c r="E56" s="164">
        <f>INDEX(Data[],MATCH($A56,Data[Dist],0),MATCH(E$6,Data[#Headers],0))</f>
        <v>914970</v>
      </c>
      <c r="F56" s="164">
        <f>INDEX(Data[],MATCH($A56,Data[Dist],0),MATCH(F$6,Data[#Headers],0))</f>
        <v>914970</v>
      </c>
      <c r="G56" s="22">
        <f>INDEX(Data[],MATCH($A56,Data[Dist],0),MATCH(G$6,Data[#Headers],0))</f>
        <v>9172288</v>
      </c>
      <c r="H56" s="22">
        <f>INDEX(Data[],MATCH($A56,Data[Dist],0),MATCH(H$6,Data[#Headers],0))-G56</f>
        <v>0</v>
      </c>
      <c r="I56" s="25"/>
      <c r="J56" s="22">
        <f>INDEX(Notes!$I$2:$N$11,MATCH(Notes!$B$2,Notes!$I$2:$I$11,0),4)*$C56</f>
        <v>3682468</v>
      </c>
      <c r="K56" s="22">
        <f>INDEX(Notes!$I$2:$N$11,MATCH(Notes!$B$2,Notes!$I$2:$I$11,0),5)*$D56</f>
        <v>1829940</v>
      </c>
      <c r="L56" s="22">
        <f>INDEX(Notes!$I$2:$N$11,MATCH(Notes!$B$2,Notes!$I$2:$I$11,0),6)*$E56</f>
        <v>2744910</v>
      </c>
      <c r="M56" s="22">
        <f>IF(Notes!$B$2="June",'Payment Total'!$F56,0)</f>
        <v>914970</v>
      </c>
      <c r="N56" s="22">
        <f t="shared" si="0"/>
        <v>0</v>
      </c>
      <c r="P56" s="26">
        <v>10620000</v>
      </c>
      <c r="Q56" s="26">
        <v>914970</v>
      </c>
      <c r="R56" s="21" t="str">
        <f t="shared" si="1"/>
        <v>1062</v>
      </c>
      <c r="S56" s="44" t="str">
        <f t="shared" si="2"/>
        <v>1062</v>
      </c>
      <c r="T56" s="20">
        <f t="shared" si="3"/>
        <v>0</v>
      </c>
      <c r="V56" s="46" t="s">
        <v>857</v>
      </c>
      <c r="W56" s="26">
        <v>914970</v>
      </c>
      <c r="X56" s="21" t="str">
        <f t="shared" si="4"/>
        <v>1062</v>
      </c>
      <c r="Y56" s="44" t="str">
        <f t="shared" si="5"/>
        <v>1062</v>
      </c>
      <c r="Z56" s="45">
        <f t="shared" si="6"/>
        <v>0</v>
      </c>
    </row>
    <row r="57" spans="1:26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978234</v>
      </c>
      <c r="D57" s="164">
        <f>INDEX(Data[],MATCH($A57,Data[Dist],0),MATCH(D$6,Data[#Headers],0))</f>
        <v>972504</v>
      </c>
      <c r="E57" s="164">
        <f>INDEX(Data[],MATCH($A57,Data[Dist],0),MATCH(E$6,Data[#Headers],0))</f>
        <v>972503</v>
      </c>
      <c r="F57" s="164">
        <f>INDEX(Data[],MATCH($A57,Data[Dist],0),MATCH(F$6,Data[#Headers],0))</f>
        <v>972504</v>
      </c>
      <c r="G57" s="22">
        <f>INDEX(Data[],MATCH($A57,Data[Dist],0),MATCH(G$6,Data[#Headers],0))</f>
        <v>9747957</v>
      </c>
      <c r="H57" s="22">
        <f>INDEX(Data[],MATCH($A57,Data[Dist],0),MATCH(H$6,Data[#Headers],0))-G57</f>
        <v>0</v>
      </c>
      <c r="I57" s="25"/>
      <c r="J57" s="22">
        <f>INDEX(Notes!$I$2:$N$11,MATCH(Notes!$B$2,Notes!$I$2:$I$11,0),4)*$C57</f>
        <v>3912936</v>
      </c>
      <c r="K57" s="22">
        <f>INDEX(Notes!$I$2:$N$11,MATCH(Notes!$B$2,Notes!$I$2:$I$11,0),5)*$D57</f>
        <v>1945008</v>
      </c>
      <c r="L57" s="22">
        <f>INDEX(Notes!$I$2:$N$11,MATCH(Notes!$B$2,Notes!$I$2:$I$11,0),6)*$E57</f>
        <v>2917509</v>
      </c>
      <c r="M57" s="22">
        <f>IF(Notes!$B$2="June",'Payment Total'!$F57,0)</f>
        <v>972504</v>
      </c>
      <c r="N57" s="22">
        <f t="shared" si="0"/>
        <v>0</v>
      </c>
      <c r="P57" s="26">
        <v>10710000</v>
      </c>
      <c r="Q57" s="26">
        <v>972504</v>
      </c>
      <c r="R57" s="21" t="str">
        <f t="shared" si="1"/>
        <v>1071</v>
      </c>
      <c r="S57" s="44" t="str">
        <f t="shared" si="2"/>
        <v>1071</v>
      </c>
      <c r="T57" s="20">
        <f t="shared" si="3"/>
        <v>0</v>
      </c>
      <c r="V57" s="46" t="s">
        <v>858</v>
      </c>
      <c r="W57" s="26">
        <v>972504</v>
      </c>
      <c r="X57" s="21" t="str">
        <f t="shared" si="4"/>
        <v>1071</v>
      </c>
      <c r="Y57" s="44" t="str">
        <f t="shared" si="5"/>
        <v>1071</v>
      </c>
      <c r="Z57" s="45">
        <f t="shared" si="6"/>
        <v>0</v>
      </c>
    </row>
    <row r="58" spans="1:26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452780</v>
      </c>
      <c r="D58" s="164">
        <f>INDEX(Data[],MATCH($A58,Data[Dist],0),MATCH(D$6,Data[#Headers],0))</f>
        <v>449589</v>
      </c>
      <c r="E58" s="164">
        <f>INDEX(Data[],MATCH($A58,Data[Dist],0),MATCH(E$6,Data[#Headers],0))</f>
        <v>449589</v>
      </c>
      <c r="F58" s="164">
        <f>INDEX(Data[],MATCH($A58,Data[Dist],0),MATCH(F$6,Data[#Headers],0))</f>
        <v>449587</v>
      </c>
      <c r="G58" s="22">
        <f>INDEX(Data[],MATCH($A58,Data[Dist],0),MATCH(G$6,Data[#Headers],0))</f>
        <v>4508652</v>
      </c>
      <c r="H58" s="22">
        <f>INDEX(Data[],MATCH($A58,Data[Dist],0),MATCH(H$6,Data[#Headers],0))-G58</f>
        <v>0</v>
      </c>
      <c r="I58" s="25"/>
      <c r="J58" s="22">
        <f>INDEX(Notes!$I$2:$N$11,MATCH(Notes!$B$2,Notes!$I$2:$I$11,0),4)*$C58</f>
        <v>1811120</v>
      </c>
      <c r="K58" s="22">
        <f>INDEX(Notes!$I$2:$N$11,MATCH(Notes!$B$2,Notes!$I$2:$I$11,0),5)*$D58</f>
        <v>899178</v>
      </c>
      <c r="L58" s="22">
        <f>INDEX(Notes!$I$2:$N$11,MATCH(Notes!$B$2,Notes!$I$2:$I$11,0),6)*$E58</f>
        <v>1348767</v>
      </c>
      <c r="M58" s="22">
        <f>IF(Notes!$B$2="June",'Payment Total'!$F58,0)</f>
        <v>449587</v>
      </c>
      <c r="N58" s="22">
        <f t="shared" si="0"/>
        <v>0</v>
      </c>
      <c r="P58" s="26">
        <v>10790000</v>
      </c>
      <c r="Q58" s="26">
        <v>449587</v>
      </c>
      <c r="R58" s="21" t="str">
        <f t="shared" si="1"/>
        <v>1079</v>
      </c>
      <c r="S58" s="44" t="str">
        <f t="shared" si="2"/>
        <v>1079</v>
      </c>
      <c r="T58" s="20">
        <f t="shared" si="3"/>
        <v>0</v>
      </c>
      <c r="V58" s="46" t="s">
        <v>863</v>
      </c>
      <c r="W58" s="26">
        <v>449587</v>
      </c>
      <c r="X58" s="21" t="str">
        <f t="shared" si="4"/>
        <v>1079</v>
      </c>
      <c r="Y58" s="44" t="str">
        <f t="shared" si="5"/>
        <v>1079</v>
      </c>
      <c r="Z58" s="45">
        <f t="shared" si="6"/>
        <v>0</v>
      </c>
    </row>
    <row r="59" spans="1:26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235899</v>
      </c>
      <c r="D59" s="164">
        <f>INDEX(Data[],MATCH($A59,Data[Dist],0),MATCH(D$6,Data[#Headers],0))</f>
        <v>234157</v>
      </c>
      <c r="E59" s="164">
        <f>INDEX(Data[],MATCH($A59,Data[Dist],0),MATCH(E$6,Data[#Headers],0))</f>
        <v>234157</v>
      </c>
      <c r="F59" s="164">
        <f>INDEX(Data[],MATCH($A59,Data[Dist],0),MATCH(F$6,Data[#Headers],0))</f>
        <v>234156</v>
      </c>
      <c r="G59" s="22">
        <f>INDEX(Data[],MATCH($A59,Data[Dist],0),MATCH(G$6,Data[#Headers],0))</f>
        <v>2348537</v>
      </c>
      <c r="H59" s="22">
        <f>INDEX(Data[],MATCH($A59,Data[Dist],0),MATCH(H$6,Data[#Headers],0))-G59</f>
        <v>0</v>
      </c>
      <c r="I59" s="25"/>
      <c r="J59" s="22">
        <f>INDEX(Notes!$I$2:$N$11,MATCH(Notes!$B$2,Notes!$I$2:$I$11,0),4)*$C59</f>
        <v>943596</v>
      </c>
      <c r="K59" s="22">
        <f>INDEX(Notes!$I$2:$N$11,MATCH(Notes!$B$2,Notes!$I$2:$I$11,0),5)*$D59</f>
        <v>468314</v>
      </c>
      <c r="L59" s="22">
        <f>INDEX(Notes!$I$2:$N$11,MATCH(Notes!$B$2,Notes!$I$2:$I$11,0),6)*$E59</f>
        <v>702471</v>
      </c>
      <c r="M59" s="22">
        <f>IF(Notes!$B$2="June",'Payment Total'!$F59,0)</f>
        <v>234156</v>
      </c>
      <c r="N59" s="22">
        <f t="shared" si="0"/>
        <v>0</v>
      </c>
      <c r="P59" s="26">
        <v>10800000</v>
      </c>
      <c r="Q59" s="26">
        <v>234156</v>
      </c>
      <c r="R59" s="21" t="str">
        <f t="shared" si="1"/>
        <v>1080</v>
      </c>
      <c r="S59" s="44" t="str">
        <f t="shared" si="2"/>
        <v>1080</v>
      </c>
      <c r="T59" s="20">
        <f t="shared" si="3"/>
        <v>0</v>
      </c>
      <c r="V59" s="46" t="s">
        <v>860</v>
      </c>
      <c r="W59" s="26">
        <v>234156</v>
      </c>
      <c r="X59" s="21" t="str">
        <f t="shared" si="4"/>
        <v>1080</v>
      </c>
      <c r="Y59" s="44" t="str">
        <f t="shared" si="5"/>
        <v>1080</v>
      </c>
      <c r="Z59" s="45">
        <f t="shared" si="6"/>
        <v>0</v>
      </c>
    </row>
    <row r="60" spans="1:26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870820</v>
      </c>
      <c r="D60" s="164">
        <f>INDEX(Data[],MATCH($A60,Data[Dist],0),MATCH(D$6,Data[#Headers],0))</f>
        <v>864731</v>
      </c>
      <c r="E60" s="164">
        <f>INDEX(Data[],MATCH($A60,Data[Dist],0),MATCH(E$6,Data[#Headers],0))</f>
        <v>864731</v>
      </c>
      <c r="F60" s="164">
        <f>INDEX(Data[],MATCH($A60,Data[Dist],0),MATCH(F$6,Data[#Headers],0))</f>
        <v>864732</v>
      </c>
      <c r="G60" s="22">
        <f>INDEX(Data[],MATCH($A60,Data[Dist],0),MATCH(G$6,Data[#Headers],0))</f>
        <v>8671667</v>
      </c>
      <c r="H60" s="22">
        <f>INDEX(Data[],MATCH($A60,Data[Dist],0),MATCH(H$6,Data[#Headers],0))-G60</f>
        <v>0</v>
      </c>
      <c r="I60" s="25"/>
      <c r="J60" s="22">
        <f>INDEX(Notes!$I$2:$N$11,MATCH(Notes!$B$2,Notes!$I$2:$I$11,0),4)*$C60</f>
        <v>3483280</v>
      </c>
      <c r="K60" s="22">
        <f>INDEX(Notes!$I$2:$N$11,MATCH(Notes!$B$2,Notes!$I$2:$I$11,0),5)*$D60</f>
        <v>1729462</v>
      </c>
      <c r="L60" s="22">
        <f>INDEX(Notes!$I$2:$N$11,MATCH(Notes!$B$2,Notes!$I$2:$I$11,0),6)*$E60</f>
        <v>2594193</v>
      </c>
      <c r="M60" s="22">
        <f>IF(Notes!$B$2="June",'Payment Total'!$F60,0)</f>
        <v>864732</v>
      </c>
      <c r="N60" s="22">
        <f t="shared" si="0"/>
        <v>0</v>
      </c>
      <c r="P60" s="26">
        <v>10820000</v>
      </c>
      <c r="Q60" s="26">
        <v>864732</v>
      </c>
      <c r="R60" s="21" t="str">
        <f t="shared" si="1"/>
        <v>1082</v>
      </c>
      <c r="S60" s="44" t="str">
        <f t="shared" si="2"/>
        <v>1082</v>
      </c>
      <c r="T60" s="20">
        <f t="shared" si="3"/>
        <v>0</v>
      </c>
      <c r="V60" s="46" t="s">
        <v>861</v>
      </c>
      <c r="W60" s="26">
        <v>864732</v>
      </c>
      <c r="X60" s="21" t="str">
        <f t="shared" si="4"/>
        <v>1082</v>
      </c>
      <c r="Y60" s="44" t="str">
        <f t="shared" si="5"/>
        <v>1082</v>
      </c>
      <c r="Z60" s="45">
        <f t="shared" si="6"/>
        <v>0</v>
      </c>
    </row>
    <row r="61" spans="1:26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308406</v>
      </c>
      <c r="D61" s="164">
        <f>INDEX(Data[],MATCH($A61,Data[Dist],0),MATCH(D$6,Data[#Headers],0))</f>
        <v>306434</v>
      </c>
      <c r="E61" s="164">
        <f>INDEX(Data[],MATCH($A61,Data[Dist],0),MATCH(E$6,Data[#Headers],0))</f>
        <v>306434</v>
      </c>
      <c r="F61" s="164">
        <f>INDEX(Data[],MATCH($A61,Data[Dist],0),MATCH(F$6,Data[#Headers],0))</f>
        <v>306432</v>
      </c>
      <c r="G61" s="22">
        <f>INDEX(Data[],MATCH($A61,Data[Dist],0),MATCH(G$6,Data[#Headers],0))</f>
        <v>3072226</v>
      </c>
      <c r="H61" s="22">
        <f>INDEX(Data[],MATCH($A61,Data[Dist],0),MATCH(H$6,Data[#Headers],0))-G61</f>
        <v>0</v>
      </c>
      <c r="I61" s="25"/>
      <c r="J61" s="22">
        <f>INDEX(Notes!$I$2:$N$11,MATCH(Notes!$B$2,Notes!$I$2:$I$11,0),4)*$C61</f>
        <v>1233624</v>
      </c>
      <c r="K61" s="22">
        <f>INDEX(Notes!$I$2:$N$11,MATCH(Notes!$B$2,Notes!$I$2:$I$11,0),5)*$D61</f>
        <v>612868</v>
      </c>
      <c r="L61" s="22">
        <f>INDEX(Notes!$I$2:$N$11,MATCH(Notes!$B$2,Notes!$I$2:$I$11,0),6)*$E61</f>
        <v>919302</v>
      </c>
      <c r="M61" s="22">
        <f>IF(Notes!$B$2="June",'Payment Total'!$F61,0)</f>
        <v>306432</v>
      </c>
      <c r="N61" s="22">
        <f t="shared" si="0"/>
        <v>0</v>
      </c>
      <c r="P61" s="26">
        <v>10890000</v>
      </c>
      <c r="Q61" s="26">
        <v>306432</v>
      </c>
      <c r="R61" s="21" t="str">
        <f t="shared" si="1"/>
        <v>1089</v>
      </c>
      <c r="S61" s="44" t="str">
        <f t="shared" si="2"/>
        <v>1089</v>
      </c>
      <c r="T61" s="20">
        <f t="shared" si="3"/>
        <v>0</v>
      </c>
      <c r="V61" s="46" t="s">
        <v>859</v>
      </c>
      <c r="W61" s="26">
        <v>306432</v>
      </c>
      <c r="X61" s="21" t="str">
        <f t="shared" si="4"/>
        <v>1089</v>
      </c>
      <c r="Y61" s="44" t="str">
        <f t="shared" si="5"/>
        <v>1089</v>
      </c>
      <c r="Z61" s="45">
        <f t="shared" si="6"/>
        <v>0</v>
      </c>
    </row>
    <row r="62" spans="1:26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440752</v>
      </c>
      <c r="D62" s="164">
        <f>INDEX(Data[],MATCH($A62,Data[Dist],0),MATCH(D$6,Data[#Headers],0))</f>
        <v>438184</v>
      </c>
      <c r="E62" s="164">
        <f>INDEX(Data[],MATCH($A62,Data[Dist],0),MATCH(E$6,Data[#Headers],0))</f>
        <v>438184</v>
      </c>
      <c r="F62" s="164">
        <f>INDEX(Data[],MATCH($A62,Data[Dist],0),MATCH(F$6,Data[#Headers],0))</f>
        <v>438185</v>
      </c>
      <c r="G62" s="22">
        <f>INDEX(Data[],MATCH($A62,Data[Dist],0),MATCH(G$6,Data[#Headers],0))</f>
        <v>4392113</v>
      </c>
      <c r="H62" s="22">
        <f>INDEX(Data[],MATCH($A62,Data[Dist],0),MATCH(H$6,Data[#Headers],0))-G62</f>
        <v>0</v>
      </c>
      <c r="I62" s="25"/>
      <c r="J62" s="22">
        <f>INDEX(Notes!$I$2:$N$11,MATCH(Notes!$B$2,Notes!$I$2:$I$11,0),4)*$C62</f>
        <v>1763008</v>
      </c>
      <c r="K62" s="22">
        <f>INDEX(Notes!$I$2:$N$11,MATCH(Notes!$B$2,Notes!$I$2:$I$11,0),5)*$D62</f>
        <v>876368</v>
      </c>
      <c r="L62" s="22">
        <f>INDEX(Notes!$I$2:$N$11,MATCH(Notes!$B$2,Notes!$I$2:$I$11,0),6)*$E62</f>
        <v>1314552</v>
      </c>
      <c r="M62" s="22">
        <f>IF(Notes!$B$2="June",'Payment Total'!$F62,0)</f>
        <v>438185</v>
      </c>
      <c r="N62" s="22">
        <f t="shared" si="0"/>
        <v>0</v>
      </c>
      <c r="P62" s="26">
        <v>10930000</v>
      </c>
      <c r="Q62" s="26">
        <v>438185</v>
      </c>
      <c r="R62" s="21" t="str">
        <f t="shared" si="1"/>
        <v>1093</v>
      </c>
      <c r="S62" s="44" t="str">
        <f t="shared" si="2"/>
        <v>1093</v>
      </c>
      <c r="T62" s="20">
        <f t="shared" si="3"/>
        <v>0</v>
      </c>
      <c r="V62" s="46" t="s">
        <v>862</v>
      </c>
      <c r="W62" s="26">
        <v>438185</v>
      </c>
      <c r="X62" s="21" t="str">
        <f t="shared" si="4"/>
        <v>1093</v>
      </c>
      <c r="Y62" s="44" t="str">
        <f t="shared" si="5"/>
        <v>1093</v>
      </c>
      <c r="Z62" s="45">
        <f t="shared" si="6"/>
        <v>0</v>
      </c>
    </row>
    <row r="63" spans="1:26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431091</v>
      </c>
      <c r="D63" s="164">
        <f>INDEX(Data[],MATCH($A63,Data[Dist],0),MATCH(D$6,Data[#Headers],0))</f>
        <v>427923</v>
      </c>
      <c r="E63" s="164">
        <f>INDEX(Data[],MATCH($A63,Data[Dist],0),MATCH(E$6,Data[#Headers],0))</f>
        <v>427922</v>
      </c>
      <c r="F63" s="164">
        <f>INDEX(Data[],MATCH($A63,Data[Dist],0),MATCH(F$6,Data[#Headers],0))</f>
        <v>427923</v>
      </c>
      <c r="G63" s="22">
        <f>INDEX(Data[],MATCH($A63,Data[Dist],0),MATCH(G$6,Data[#Headers],0))</f>
        <v>4291899</v>
      </c>
      <c r="H63" s="22">
        <f>INDEX(Data[],MATCH($A63,Data[Dist],0),MATCH(H$6,Data[#Headers],0))-G63</f>
        <v>0</v>
      </c>
      <c r="I63" s="25"/>
      <c r="J63" s="22">
        <f>INDEX(Notes!$I$2:$N$11,MATCH(Notes!$B$2,Notes!$I$2:$I$11,0),4)*$C63</f>
        <v>1724364</v>
      </c>
      <c r="K63" s="22">
        <f>INDEX(Notes!$I$2:$N$11,MATCH(Notes!$B$2,Notes!$I$2:$I$11,0),5)*$D63</f>
        <v>855846</v>
      </c>
      <c r="L63" s="22">
        <f>INDEX(Notes!$I$2:$N$11,MATCH(Notes!$B$2,Notes!$I$2:$I$11,0),6)*$E63</f>
        <v>1283766</v>
      </c>
      <c r="M63" s="22">
        <f>IF(Notes!$B$2="June",'Payment Total'!$F63,0)</f>
        <v>427923</v>
      </c>
      <c r="N63" s="22">
        <f t="shared" si="0"/>
        <v>0</v>
      </c>
      <c r="P63" s="26">
        <v>10950000</v>
      </c>
      <c r="Q63" s="26">
        <v>427923</v>
      </c>
      <c r="R63" s="21" t="str">
        <f t="shared" si="1"/>
        <v>1095</v>
      </c>
      <c r="S63" s="44" t="str">
        <f t="shared" si="2"/>
        <v>1095</v>
      </c>
      <c r="T63" s="20">
        <f t="shared" si="3"/>
        <v>0</v>
      </c>
      <c r="V63" s="46" t="s">
        <v>864</v>
      </c>
      <c r="W63" s="26">
        <v>427923</v>
      </c>
      <c r="X63" s="21" t="str">
        <f t="shared" si="4"/>
        <v>1095</v>
      </c>
      <c r="Y63" s="44" t="str">
        <f t="shared" si="5"/>
        <v>1095</v>
      </c>
      <c r="Z63" s="45">
        <f t="shared" si="6"/>
        <v>0</v>
      </c>
    </row>
    <row r="64" spans="1:26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811849</v>
      </c>
      <c r="D64" s="164">
        <f>INDEX(Data[],MATCH($A64,Data[Dist],0),MATCH(D$6,Data[#Headers],0))</f>
        <v>806685</v>
      </c>
      <c r="E64" s="164">
        <f>INDEX(Data[],MATCH($A64,Data[Dist],0),MATCH(E$6,Data[#Headers],0))</f>
        <v>806685</v>
      </c>
      <c r="F64" s="164">
        <f>INDEX(Data[],MATCH($A64,Data[Dist],0),MATCH(F$6,Data[#Headers],0))</f>
        <v>806684</v>
      </c>
      <c r="G64" s="22">
        <f>INDEX(Data[],MATCH($A64,Data[Dist],0),MATCH(G$6,Data[#Headers],0))</f>
        <v>8087505</v>
      </c>
      <c r="H64" s="22">
        <f>INDEX(Data[],MATCH($A64,Data[Dist],0),MATCH(H$6,Data[#Headers],0))-G64</f>
        <v>0</v>
      </c>
      <c r="I64" s="25"/>
      <c r="J64" s="22">
        <f>INDEX(Notes!$I$2:$N$11,MATCH(Notes!$B$2,Notes!$I$2:$I$11,0),4)*$C64</f>
        <v>3247396</v>
      </c>
      <c r="K64" s="22">
        <f>INDEX(Notes!$I$2:$N$11,MATCH(Notes!$B$2,Notes!$I$2:$I$11,0),5)*$D64</f>
        <v>1613370</v>
      </c>
      <c r="L64" s="22">
        <f>INDEX(Notes!$I$2:$N$11,MATCH(Notes!$B$2,Notes!$I$2:$I$11,0),6)*$E64</f>
        <v>2420055</v>
      </c>
      <c r="M64" s="22">
        <f>IF(Notes!$B$2="June",'Payment Total'!$F64,0)</f>
        <v>806684</v>
      </c>
      <c r="N64" s="22">
        <f t="shared" si="0"/>
        <v>0</v>
      </c>
      <c r="P64" s="26">
        <v>11070000</v>
      </c>
      <c r="Q64" s="26">
        <v>806684</v>
      </c>
      <c r="R64" s="21" t="str">
        <f t="shared" si="1"/>
        <v>1107</v>
      </c>
      <c r="S64" s="44" t="str">
        <f t="shared" si="2"/>
        <v>1107</v>
      </c>
      <c r="T64" s="20">
        <f t="shared" si="3"/>
        <v>0</v>
      </c>
      <c r="V64" s="46" t="s">
        <v>866</v>
      </c>
      <c r="W64" s="26">
        <v>806684</v>
      </c>
      <c r="X64" s="21" t="str">
        <f t="shared" si="4"/>
        <v>1107</v>
      </c>
      <c r="Y64" s="44" t="str">
        <f t="shared" si="5"/>
        <v>1107</v>
      </c>
      <c r="Z64" s="45">
        <f t="shared" si="6"/>
        <v>0</v>
      </c>
    </row>
    <row r="65" spans="1:26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914433</v>
      </c>
      <c r="D65" s="164">
        <f>INDEX(Data[],MATCH($A65,Data[Dist],0),MATCH(D$6,Data[#Headers],0))</f>
        <v>908182</v>
      </c>
      <c r="E65" s="164">
        <f>INDEX(Data[],MATCH($A65,Data[Dist],0),MATCH(E$6,Data[#Headers],0))</f>
        <v>908182</v>
      </c>
      <c r="F65" s="164">
        <f>INDEX(Data[],MATCH($A65,Data[Dist],0),MATCH(F$6,Data[#Headers],0))</f>
        <v>908181</v>
      </c>
      <c r="G65" s="22">
        <f>INDEX(Data[],MATCH($A65,Data[Dist],0),MATCH(G$6,Data[#Headers],0))</f>
        <v>9106823</v>
      </c>
      <c r="H65" s="22">
        <f>INDEX(Data[],MATCH($A65,Data[Dist],0),MATCH(H$6,Data[#Headers],0))-G65</f>
        <v>0</v>
      </c>
      <c r="I65" s="25"/>
      <c r="J65" s="22">
        <f>INDEX(Notes!$I$2:$N$11,MATCH(Notes!$B$2,Notes!$I$2:$I$11,0),4)*$C65</f>
        <v>3657732</v>
      </c>
      <c r="K65" s="22">
        <f>INDEX(Notes!$I$2:$N$11,MATCH(Notes!$B$2,Notes!$I$2:$I$11,0),5)*$D65</f>
        <v>1816364</v>
      </c>
      <c r="L65" s="22">
        <f>INDEX(Notes!$I$2:$N$11,MATCH(Notes!$B$2,Notes!$I$2:$I$11,0),6)*$E65</f>
        <v>2724546</v>
      </c>
      <c r="M65" s="22">
        <f>IF(Notes!$B$2="June",'Payment Total'!$F65,0)</f>
        <v>908181</v>
      </c>
      <c r="N65" s="22">
        <f t="shared" si="0"/>
        <v>0</v>
      </c>
      <c r="P65" s="26">
        <v>11160000</v>
      </c>
      <c r="Q65" s="26">
        <v>908181</v>
      </c>
      <c r="R65" s="21" t="str">
        <f t="shared" si="1"/>
        <v>1116</v>
      </c>
      <c r="S65" s="44" t="str">
        <f t="shared" si="2"/>
        <v>1116</v>
      </c>
      <c r="T65" s="20">
        <f t="shared" si="3"/>
        <v>0</v>
      </c>
      <c r="V65" s="46" t="s">
        <v>867</v>
      </c>
      <c r="W65" s="26">
        <v>908181</v>
      </c>
      <c r="X65" s="21" t="str">
        <f t="shared" si="4"/>
        <v>1116</v>
      </c>
      <c r="Y65" s="44" t="str">
        <f t="shared" si="5"/>
        <v>1116</v>
      </c>
      <c r="Z65" s="45">
        <f t="shared" si="6"/>
        <v>0</v>
      </c>
    </row>
    <row r="66" spans="1:26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145460</v>
      </c>
      <c r="D66" s="164">
        <f>INDEX(Data[],MATCH($A66,Data[Dist],0),MATCH(D$6,Data[#Headers],0))</f>
        <v>144382</v>
      </c>
      <c r="E66" s="164">
        <f>INDEX(Data[],MATCH($A66,Data[Dist],0),MATCH(E$6,Data[#Headers],0))</f>
        <v>144382</v>
      </c>
      <c r="F66" s="164">
        <f>INDEX(Data[],MATCH($A66,Data[Dist],0),MATCH(F$6,Data[#Headers],0))</f>
        <v>144381</v>
      </c>
      <c r="G66" s="22">
        <f>INDEX(Data[],MATCH($A66,Data[Dist],0),MATCH(G$6,Data[#Headers],0))</f>
        <v>1448131</v>
      </c>
      <c r="H66" s="22">
        <f>INDEX(Data[],MATCH($A66,Data[Dist],0),MATCH(H$6,Data[#Headers],0))-G66</f>
        <v>0</v>
      </c>
      <c r="I66" s="25"/>
      <c r="J66" s="22">
        <f>INDEX(Notes!$I$2:$N$11,MATCH(Notes!$B$2,Notes!$I$2:$I$11,0),4)*$C66</f>
        <v>581840</v>
      </c>
      <c r="K66" s="22">
        <f>INDEX(Notes!$I$2:$N$11,MATCH(Notes!$B$2,Notes!$I$2:$I$11,0),5)*$D66</f>
        <v>288764</v>
      </c>
      <c r="L66" s="22">
        <f>INDEX(Notes!$I$2:$N$11,MATCH(Notes!$B$2,Notes!$I$2:$I$11,0),6)*$E66</f>
        <v>433146</v>
      </c>
      <c r="M66" s="22">
        <f>IF(Notes!$B$2="June",'Payment Total'!$F66,0)</f>
        <v>144381</v>
      </c>
      <c r="N66" s="22">
        <f t="shared" si="0"/>
        <v>0</v>
      </c>
      <c r="P66" s="26">
        <v>11340000</v>
      </c>
      <c r="Q66" s="26">
        <v>144381</v>
      </c>
      <c r="R66" s="21" t="str">
        <f t="shared" si="1"/>
        <v>1134</v>
      </c>
      <c r="S66" s="44" t="str">
        <f t="shared" si="2"/>
        <v>1134</v>
      </c>
      <c r="T66" s="20">
        <f t="shared" si="3"/>
        <v>0</v>
      </c>
      <c r="V66" s="46" t="s">
        <v>868</v>
      </c>
      <c r="W66" s="26">
        <v>144381</v>
      </c>
      <c r="X66" s="21" t="str">
        <f t="shared" si="4"/>
        <v>1134</v>
      </c>
      <c r="Y66" s="44" t="str">
        <f t="shared" si="5"/>
        <v>1134</v>
      </c>
      <c r="Z66" s="45">
        <f t="shared" si="6"/>
        <v>0</v>
      </c>
    </row>
    <row r="67" spans="1:26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609892</v>
      </c>
      <c r="D67" s="164">
        <f>INDEX(Data[],MATCH($A67,Data[Dist],0),MATCH(D$6,Data[#Headers],0))</f>
        <v>605839</v>
      </c>
      <c r="E67" s="164">
        <f>INDEX(Data[],MATCH($A67,Data[Dist],0),MATCH(E$6,Data[#Headers],0))</f>
        <v>605839</v>
      </c>
      <c r="F67" s="164">
        <f>INDEX(Data[],MATCH($A67,Data[Dist],0),MATCH(F$6,Data[#Headers],0))</f>
        <v>605839</v>
      </c>
      <c r="G67" s="22">
        <f>INDEX(Data[],MATCH($A67,Data[Dist],0),MATCH(G$6,Data[#Headers],0))</f>
        <v>6074602</v>
      </c>
      <c r="H67" s="22">
        <f>INDEX(Data[],MATCH($A67,Data[Dist],0),MATCH(H$6,Data[#Headers],0))-G67</f>
        <v>0</v>
      </c>
      <c r="I67" s="25"/>
      <c r="J67" s="22">
        <f>INDEX(Notes!$I$2:$N$11,MATCH(Notes!$B$2,Notes!$I$2:$I$11,0),4)*$C67</f>
        <v>2439568</v>
      </c>
      <c r="K67" s="22">
        <f>INDEX(Notes!$I$2:$N$11,MATCH(Notes!$B$2,Notes!$I$2:$I$11,0),5)*$D67</f>
        <v>1211678</v>
      </c>
      <c r="L67" s="22">
        <f>INDEX(Notes!$I$2:$N$11,MATCH(Notes!$B$2,Notes!$I$2:$I$11,0),6)*$E67</f>
        <v>1817517</v>
      </c>
      <c r="M67" s="22">
        <f>IF(Notes!$B$2="June",'Payment Total'!$F67,0)</f>
        <v>605839</v>
      </c>
      <c r="N67" s="22">
        <f t="shared" si="0"/>
        <v>0</v>
      </c>
      <c r="P67" s="26">
        <v>11520000</v>
      </c>
      <c r="Q67" s="26">
        <v>605839</v>
      </c>
      <c r="R67" s="21" t="str">
        <f t="shared" si="1"/>
        <v>1152</v>
      </c>
      <c r="S67" s="44" t="str">
        <f t="shared" si="2"/>
        <v>1152</v>
      </c>
      <c r="T67" s="20">
        <f t="shared" si="3"/>
        <v>0</v>
      </c>
      <c r="V67" s="46" t="s">
        <v>869</v>
      </c>
      <c r="W67" s="26">
        <v>605839</v>
      </c>
      <c r="X67" s="21" t="str">
        <f t="shared" si="4"/>
        <v>1152</v>
      </c>
      <c r="Y67" s="44" t="str">
        <f t="shared" si="5"/>
        <v>1152</v>
      </c>
      <c r="Z67" s="45">
        <f t="shared" si="6"/>
        <v>0</v>
      </c>
    </row>
    <row r="68" spans="1:26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568054</v>
      </c>
      <c r="D68" s="164">
        <f>INDEX(Data[],MATCH($A68,Data[Dist],0),MATCH(D$6,Data[#Headers],0))</f>
        <v>563976</v>
      </c>
      <c r="E68" s="164">
        <f>INDEX(Data[],MATCH($A68,Data[Dist],0),MATCH(E$6,Data[#Headers],0))</f>
        <v>563976</v>
      </c>
      <c r="F68" s="164">
        <f>INDEX(Data[],MATCH($A68,Data[Dist],0),MATCH(F$6,Data[#Headers],0))</f>
        <v>563976</v>
      </c>
      <c r="G68" s="22">
        <f>INDEX(Data[],MATCH($A68,Data[Dist],0),MATCH(G$6,Data[#Headers],0))</f>
        <v>5656072</v>
      </c>
      <c r="H68" s="22">
        <f>INDEX(Data[],MATCH($A68,Data[Dist],0),MATCH(H$6,Data[#Headers],0))-G68</f>
        <v>0</v>
      </c>
      <c r="I68" s="25"/>
      <c r="J68" s="22">
        <f>INDEX(Notes!$I$2:$N$11,MATCH(Notes!$B$2,Notes!$I$2:$I$11,0),4)*$C68</f>
        <v>2272216</v>
      </c>
      <c r="K68" s="22">
        <f>INDEX(Notes!$I$2:$N$11,MATCH(Notes!$B$2,Notes!$I$2:$I$11,0),5)*$D68</f>
        <v>1127952</v>
      </c>
      <c r="L68" s="22">
        <f>INDEX(Notes!$I$2:$N$11,MATCH(Notes!$B$2,Notes!$I$2:$I$11,0),6)*$E68</f>
        <v>1691928</v>
      </c>
      <c r="M68" s="22">
        <f>IF(Notes!$B$2="June",'Payment Total'!$F68,0)</f>
        <v>563976</v>
      </c>
      <c r="N68" s="22">
        <f t="shared" si="0"/>
        <v>0</v>
      </c>
      <c r="P68" s="26">
        <v>11970000</v>
      </c>
      <c r="Q68" s="26">
        <v>563976</v>
      </c>
      <c r="R68" s="21" t="str">
        <f t="shared" si="1"/>
        <v>1197</v>
      </c>
      <c r="S68" s="44" t="str">
        <f t="shared" si="2"/>
        <v>1197</v>
      </c>
      <c r="T68" s="20">
        <f t="shared" si="3"/>
        <v>0</v>
      </c>
      <c r="V68" s="46" t="s">
        <v>870</v>
      </c>
      <c r="W68" s="26">
        <v>563976</v>
      </c>
      <c r="X68" s="21" t="str">
        <f t="shared" si="4"/>
        <v>1197</v>
      </c>
      <c r="Y68" s="44" t="str">
        <f t="shared" si="5"/>
        <v>1197</v>
      </c>
      <c r="Z68" s="45">
        <f t="shared" si="6"/>
        <v>0</v>
      </c>
    </row>
    <row r="69" spans="1:26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497429</v>
      </c>
      <c r="D69" s="164">
        <f>INDEX(Data[],MATCH($A69,Data[Dist],0),MATCH(D$6,Data[#Headers],0))</f>
        <v>493501</v>
      </c>
      <c r="E69" s="164">
        <f>INDEX(Data[],MATCH($A69,Data[Dist],0),MATCH(E$6,Data[#Headers],0))</f>
        <v>493502</v>
      </c>
      <c r="F69" s="164">
        <f>INDEX(Data[],MATCH($A69,Data[Dist],0),MATCH(F$6,Data[#Headers],0))</f>
        <v>493500</v>
      </c>
      <c r="G69" s="22">
        <f>INDEX(Data[],MATCH($A69,Data[Dist],0),MATCH(G$6,Data[#Headers],0))</f>
        <v>4950724</v>
      </c>
      <c r="H69" s="22">
        <f>INDEX(Data[],MATCH($A69,Data[Dist],0),MATCH(H$6,Data[#Headers],0))-G69</f>
        <v>0</v>
      </c>
      <c r="I69" s="25"/>
      <c r="J69" s="22">
        <f>INDEX(Notes!$I$2:$N$11,MATCH(Notes!$B$2,Notes!$I$2:$I$11,0),4)*$C69</f>
        <v>1989716</v>
      </c>
      <c r="K69" s="22">
        <f>INDEX(Notes!$I$2:$N$11,MATCH(Notes!$B$2,Notes!$I$2:$I$11,0),5)*$D69</f>
        <v>987002</v>
      </c>
      <c r="L69" s="22">
        <f>INDEX(Notes!$I$2:$N$11,MATCH(Notes!$B$2,Notes!$I$2:$I$11,0),6)*$E69</f>
        <v>1480506</v>
      </c>
      <c r="M69" s="22">
        <f>IF(Notes!$B$2="June",'Payment Total'!$F69,0)</f>
        <v>493500</v>
      </c>
      <c r="N69" s="22">
        <f t="shared" si="0"/>
        <v>0</v>
      </c>
      <c r="P69" s="26">
        <v>12060000</v>
      </c>
      <c r="Q69" s="26">
        <v>493500</v>
      </c>
      <c r="R69" s="21" t="str">
        <f t="shared" si="1"/>
        <v>1206</v>
      </c>
      <c r="S69" s="44" t="str">
        <f t="shared" si="2"/>
        <v>1206</v>
      </c>
      <c r="T69" s="20">
        <f t="shared" si="3"/>
        <v>0</v>
      </c>
      <c r="V69" s="46" t="s">
        <v>871</v>
      </c>
      <c r="W69" s="26">
        <v>493500</v>
      </c>
      <c r="X69" s="21" t="str">
        <f t="shared" si="4"/>
        <v>1206</v>
      </c>
      <c r="Y69" s="44" t="str">
        <f t="shared" si="5"/>
        <v>1206</v>
      </c>
      <c r="Z69" s="45">
        <f t="shared" si="6"/>
        <v>0</v>
      </c>
    </row>
    <row r="70" spans="1:26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1003029</v>
      </c>
      <c r="D70" s="164">
        <f>INDEX(Data[],MATCH($A70,Data[Dist],0),MATCH(D$6,Data[#Headers],0))</f>
        <v>996952</v>
      </c>
      <c r="E70" s="164">
        <f>INDEX(Data[],MATCH($A70,Data[Dist],0),MATCH(E$6,Data[#Headers],0))</f>
        <v>996952</v>
      </c>
      <c r="F70" s="164">
        <f>INDEX(Data[],MATCH($A70,Data[Dist],0),MATCH(F$6,Data[#Headers],0))</f>
        <v>996950</v>
      </c>
      <c r="G70" s="22">
        <f>INDEX(Data[],MATCH($A70,Data[Dist],0),MATCH(G$6,Data[#Headers],0))</f>
        <v>9993826</v>
      </c>
      <c r="H70" s="22">
        <f>INDEX(Data[],MATCH($A70,Data[Dist],0),MATCH(H$6,Data[#Headers],0))-G70</f>
        <v>0</v>
      </c>
      <c r="I70" s="25"/>
      <c r="J70" s="22">
        <f>INDEX(Notes!$I$2:$N$11,MATCH(Notes!$B$2,Notes!$I$2:$I$11,0),4)*$C70</f>
        <v>4012116</v>
      </c>
      <c r="K70" s="22">
        <f>INDEX(Notes!$I$2:$N$11,MATCH(Notes!$B$2,Notes!$I$2:$I$11,0),5)*$D70</f>
        <v>1993904</v>
      </c>
      <c r="L70" s="22">
        <f>INDEX(Notes!$I$2:$N$11,MATCH(Notes!$B$2,Notes!$I$2:$I$11,0),6)*$E70</f>
        <v>2990856</v>
      </c>
      <c r="M70" s="22">
        <f>IF(Notes!$B$2="June",'Payment Total'!$F70,0)</f>
        <v>996950</v>
      </c>
      <c r="N70" s="22">
        <f t="shared" si="0"/>
        <v>0</v>
      </c>
      <c r="P70" s="26">
        <v>12110000</v>
      </c>
      <c r="Q70" s="26">
        <v>996950</v>
      </c>
      <c r="R70" s="21" t="str">
        <f t="shared" si="1"/>
        <v>1211</v>
      </c>
      <c r="S70" s="44" t="str">
        <f t="shared" si="2"/>
        <v>1211</v>
      </c>
      <c r="T70" s="20">
        <f t="shared" si="3"/>
        <v>0</v>
      </c>
      <c r="V70" s="46" t="s">
        <v>872</v>
      </c>
      <c r="W70" s="26">
        <v>996950</v>
      </c>
      <c r="X70" s="21" t="str">
        <f t="shared" si="4"/>
        <v>1211</v>
      </c>
      <c r="Y70" s="44" t="str">
        <f t="shared" si="5"/>
        <v>1211</v>
      </c>
      <c r="Z70" s="45">
        <f t="shared" si="6"/>
        <v>0</v>
      </c>
    </row>
    <row r="71" spans="1:26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208107</v>
      </c>
      <c r="D71" s="164">
        <f>INDEX(Data[],MATCH($A71,Data[Dist],0),MATCH(D$6,Data[#Headers],0))</f>
        <v>206795</v>
      </c>
      <c r="E71" s="164">
        <f>INDEX(Data[],MATCH($A71,Data[Dist],0),MATCH(E$6,Data[#Headers],0))</f>
        <v>206795</v>
      </c>
      <c r="F71" s="164">
        <f>INDEX(Data[],MATCH($A71,Data[Dist],0),MATCH(F$6,Data[#Headers],0))</f>
        <v>206795</v>
      </c>
      <c r="G71" s="22">
        <f>INDEX(Data[],MATCH($A71,Data[Dist],0),MATCH(G$6,Data[#Headers],0))</f>
        <v>2073198</v>
      </c>
      <c r="H71" s="22">
        <f>INDEX(Data[],MATCH($A71,Data[Dist],0),MATCH(H$6,Data[#Headers],0))-G71</f>
        <v>0</v>
      </c>
      <c r="I71" s="25"/>
      <c r="J71" s="22">
        <f>INDEX(Notes!$I$2:$N$11,MATCH(Notes!$B$2,Notes!$I$2:$I$11,0),4)*$C71</f>
        <v>832428</v>
      </c>
      <c r="K71" s="22">
        <f>INDEX(Notes!$I$2:$N$11,MATCH(Notes!$B$2,Notes!$I$2:$I$11,0),5)*$D71</f>
        <v>413590</v>
      </c>
      <c r="L71" s="22">
        <f>INDEX(Notes!$I$2:$N$11,MATCH(Notes!$B$2,Notes!$I$2:$I$11,0),6)*$E71</f>
        <v>620385</v>
      </c>
      <c r="M71" s="22">
        <f>IF(Notes!$B$2="June",'Payment Total'!$F71,0)</f>
        <v>206795</v>
      </c>
      <c r="N71" s="22">
        <f t="shared" si="0"/>
        <v>0</v>
      </c>
      <c r="P71" s="26">
        <v>12150000</v>
      </c>
      <c r="Q71" s="26">
        <v>206795</v>
      </c>
      <c r="R71" s="21" t="str">
        <f t="shared" si="1"/>
        <v>1215</v>
      </c>
      <c r="S71" s="44" t="str">
        <f t="shared" si="2"/>
        <v>1215</v>
      </c>
      <c r="T71" s="20">
        <f t="shared" si="3"/>
        <v>0</v>
      </c>
      <c r="V71" s="46" t="s">
        <v>873</v>
      </c>
      <c r="W71" s="26">
        <v>206795</v>
      </c>
      <c r="X71" s="21" t="str">
        <f t="shared" si="4"/>
        <v>1215</v>
      </c>
      <c r="Y71" s="44" t="str">
        <f t="shared" si="5"/>
        <v>1215</v>
      </c>
      <c r="Z71" s="45">
        <f t="shared" si="6"/>
        <v>0</v>
      </c>
    </row>
    <row r="72" spans="1:26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131314</v>
      </c>
      <c r="D72" s="164">
        <f>INDEX(Data[],MATCH($A72,Data[Dist],0),MATCH(D$6,Data[#Headers],0))</f>
        <v>129933</v>
      </c>
      <c r="E72" s="164">
        <f>INDEX(Data[],MATCH($A72,Data[Dist],0),MATCH(E$6,Data[#Headers],0))</f>
        <v>129932</v>
      </c>
      <c r="F72" s="164">
        <f>INDEX(Data[],MATCH($A72,Data[Dist],0),MATCH(F$6,Data[#Headers],0))</f>
        <v>129933</v>
      </c>
      <c r="G72" s="22">
        <f>INDEX(Data[],MATCH($A72,Data[Dist],0),MATCH(G$6,Data[#Headers],0))</f>
        <v>1304851</v>
      </c>
      <c r="H72" s="22">
        <f>INDEX(Data[],MATCH($A72,Data[Dist],0),MATCH(H$6,Data[#Headers],0))-G72</f>
        <v>0</v>
      </c>
      <c r="I72" s="25"/>
      <c r="J72" s="22">
        <f>INDEX(Notes!$I$2:$N$11,MATCH(Notes!$B$2,Notes!$I$2:$I$11,0),4)*$C72</f>
        <v>525256</v>
      </c>
      <c r="K72" s="22">
        <f>INDEX(Notes!$I$2:$N$11,MATCH(Notes!$B$2,Notes!$I$2:$I$11,0),5)*$D72</f>
        <v>259866</v>
      </c>
      <c r="L72" s="22">
        <f>INDEX(Notes!$I$2:$N$11,MATCH(Notes!$B$2,Notes!$I$2:$I$11,0),6)*$E72</f>
        <v>389796</v>
      </c>
      <c r="M72" s="22">
        <f>IF(Notes!$B$2="June",'Payment Total'!$F72,0)</f>
        <v>129933</v>
      </c>
      <c r="N72" s="22">
        <f t="shared" ref="N72:N135" si="7">SUM(J72:M72)-G72</f>
        <v>0</v>
      </c>
      <c r="P72" s="26">
        <v>12180000</v>
      </c>
      <c r="Q72" s="26">
        <v>129933</v>
      </c>
      <c r="R72" s="21" t="str">
        <f t="shared" ref="R72:R135" si="8">TEXT(P72/10000,"0000")</f>
        <v>1218</v>
      </c>
      <c r="S72" s="44" t="str">
        <f t="shared" ref="S72:S135" si="9">IF(R72="1968","3582",IF(R72="5160","5319",IF(R72="5510","4824",IF(R72="6536","1935",IF(R72="6035","6048",IF(R72="5325","5323",IF(R72="6099","5157",R72)))))))</f>
        <v>1218</v>
      </c>
      <c r="T72" s="20">
        <f t="shared" ref="T72:T135" si="10">INDEX($A$7:$H$336,MATCH($S72,$A$7:$A$336,0),6)-Q72</f>
        <v>0</v>
      </c>
      <c r="V72" s="46" t="s">
        <v>874</v>
      </c>
      <c r="W72" s="26">
        <v>129933</v>
      </c>
      <c r="X72" s="21" t="str">
        <f t="shared" ref="X72:X135" si="11">TEXT(V72/10000,"0000")</f>
        <v>1218</v>
      </c>
      <c r="Y72" s="44" t="str">
        <f t="shared" ref="Y72:Y135" si="12">IF(X72="1968","3582",IF(X72="5160","5319",IF(X72="5510","4824",IF(X72="6536","1935",IF(X72="6035","6048",IF(X72="5325","5323",IF(X72="6099","5157",X72)))))))</f>
        <v>1218</v>
      </c>
      <c r="Z72" s="45">
        <f t="shared" ref="Z72:Z135" si="13">INDEX($A$7:$H$336,MATCH($Y72,$A$7:$A$336,0),6)-W72</f>
        <v>0</v>
      </c>
    </row>
    <row r="73" spans="1:26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1119881</v>
      </c>
      <c r="D73" s="164">
        <f>INDEX(Data[],MATCH($A73,Data[Dist],0),MATCH(D$6,Data[#Headers],0))</f>
        <v>1110757</v>
      </c>
      <c r="E73" s="164">
        <f>INDEX(Data[],MATCH($A73,Data[Dist],0),MATCH(E$6,Data[#Headers],0))</f>
        <v>1110757</v>
      </c>
      <c r="F73" s="164">
        <f>INDEX(Data[],MATCH($A73,Data[Dist],0),MATCH(F$6,Data[#Headers],0))</f>
        <v>1110758</v>
      </c>
      <c r="G73" s="22">
        <f>INDEX(Data[],MATCH($A73,Data[Dist],0),MATCH(G$6,Data[#Headers],0))</f>
        <v>11144067</v>
      </c>
      <c r="H73" s="22">
        <f>INDEX(Data[],MATCH($A73,Data[Dist],0),MATCH(H$6,Data[#Headers],0))-G73</f>
        <v>0</v>
      </c>
      <c r="I73" s="25"/>
      <c r="J73" s="22">
        <f>INDEX(Notes!$I$2:$N$11,MATCH(Notes!$B$2,Notes!$I$2:$I$11,0),4)*$C73</f>
        <v>4479524</v>
      </c>
      <c r="K73" s="22">
        <f>INDEX(Notes!$I$2:$N$11,MATCH(Notes!$B$2,Notes!$I$2:$I$11,0),5)*$D73</f>
        <v>2221514</v>
      </c>
      <c r="L73" s="22">
        <f>INDEX(Notes!$I$2:$N$11,MATCH(Notes!$B$2,Notes!$I$2:$I$11,0),6)*$E73</f>
        <v>3332271</v>
      </c>
      <c r="M73" s="22">
        <f>IF(Notes!$B$2="June",'Payment Total'!$F73,0)</f>
        <v>1110758</v>
      </c>
      <c r="N73" s="22">
        <f t="shared" si="7"/>
        <v>0</v>
      </c>
      <c r="P73" s="26">
        <v>12210000</v>
      </c>
      <c r="Q73" s="26">
        <v>1110758</v>
      </c>
      <c r="R73" s="21" t="str">
        <f t="shared" si="8"/>
        <v>1221</v>
      </c>
      <c r="S73" s="44" t="str">
        <f t="shared" si="9"/>
        <v>1221</v>
      </c>
      <c r="T73" s="20">
        <f t="shared" si="10"/>
        <v>0</v>
      </c>
      <c r="V73" s="46" t="s">
        <v>876</v>
      </c>
      <c r="W73" s="26">
        <v>1110756</v>
      </c>
      <c r="X73" s="21" t="str">
        <f t="shared" si="11"/>
        <v>1221</v>
      </c>
      <c r="Y73" s="44" t="str">
        <f t="shared" si="12"/>
        <v>1221</v>
      </c>
      <c r="Z73" s="45">
        <f t="shared" si="13"/>
        <v>2</v>
      </c>
    </row>
    <row r="74" spans="1:26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548523</v>
      </c>
      <c r="D74" s="164">
        <f>INDEX(Data[],MATCH($A74,Data[Dist],0),MATCH(D$6,Data[#Headers],0))</f>
        <v>543386</v>
      </c>
      <c r="E74" s="164">
        <f>INDEX(Data[],MATCH($A74,Data[Dist],0),MATCH(E$6,Data[#Headers],0))</f>
        <v>543386</v>
      </c>
      <c r="F74" s="164">
        <f>INDEX(Data[],MATCH($A74,Data[Dist],0),MATCH(F$6,Data[#Headers],0))</f>
        <v>543387</v>
      </c>
      <c r="G74" s="22">
        <f>INDEX(Data[],MATCH($A74,Data[Dist],0),MATCH(G$6,Data[#Headers],0))</f>
        <v>5454409</v>
      </c>
      <c r="H74" s="22">
        <f>INDEX(Data[],MATCH($A74,Data[Dist],0),MATCH(H$6,Data[#Headers],0))-G74</f>
        <v>0</v>
      </c>
      <c r="I74" s="25"/>
      <c r="J74" s="22">
        <f>INDEX(Notes!$I$2:$N$11,MATCH(Notes!$B$2,Notes!$I$2:$I$11,0),4)*$C74</f>
        <v>2194092</v>
      </c>
      <c r="K74" s="22">
        <f>INDEX(Notes!$I$2:$N$11,MATCH(Notes!$B$2,Notes!$I$2:$I$11,0),5)*$D74</f>
        <v>1086772</v>
      </c>
      <c r="L74" s="22">
        <f>INDEX(Notes!$I$2:$N$11,MATCH(Notes!$B$2,Notes!$I$2:$I$11,0),6)*$E74</f>
        <v>1630158</v>
      </c>
      <c r="M74" s="22">
        <f>IF(Notes!$B$2="June",'Payment Total'!$F74,0)</f>
        <v>543387</v>
      </c>
      <c r="N74" s="22">
        <f t="shared" si="7"/>
        <v>0</v>
      </c>
      <c r="P74" s="26">
        <v>12330000</v>
      </c>
      <c r="Q74" s="26">
        <v>543387</v>
      </c>
      <c r="R74" s="21" t="str">
        <f t="shared" si="8"/>
        <v>1233</v>
      </c>
      <c r="S74" s="44" t="str">
        <f t="shared" si="9"/>
        <v>1233</v>
      </c>
      <c r="T74" s="20">
        <f t="shared" si="10"/>
        <v>0</v>
      </c>
      <c r="V74" s="46" t="s">
        <v>877</v>
      </c>
      <c r="W74" s="26">
        <v>543387</v>
      </c>
      <c r="X74" s="21" t="str">
        <f t="shared" si="11"/>
        <v>1233</v>
      </c>
      <c r="Y74" s="44" t="str">
        <f t="shared" si="12"/>
        <v>1233</v>
      </c>
      <c r="Z74" s="45">
        <f t="shared" si="13"/>
        <v>0</v>
      </c>
    </row>
    <row r="75" spans="1:26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2676721</v>
      </c>
      <c r="D75" s="164">
        <f>INDEX(Data[],MATCH($A75,Data[Dist],0),MATCH(D$6,Data[#Headers],0))</f>
        <v>2661220</v>
      </c>
      <c r="E75" s="164">
        <f>INDEX(Data[],MATCH($A75,Data[Dist],0),MATCH(E$6,Data[#Headers],0))</f>
        <v>2661220</v>
      </c>
      <c r="F75" s="164">
        <f>INDEX(Data[],MATCH($A75,Data[Dist],0),MATCH(F$6,Data[#Headers],0))</f>
        <v>2661220</v>
      </c>
      <c r="G75" s="22">
        <f>INDEX(Data[],MATCH($A75,Data[Dist],0),MATCH(G$6,Data[#Headers],0))</f>
        <v>26674204</v>
      </c>
      <c r="H75" s="22">
        <f>INDEX(Data[],MATCH($A75,Data[Dist],0),MATCH(H$6,Data[#Headers],0))-G75</f>
        <v>0</v>
      </c>
      <c r="I75" s="25"/>
      <c r="J75" s="22">
        <f>INDEX(Notes!$I$2:$N$11,MATCH(Notes!$B$2,Notes!$I$2:$I$11,0),4)*$C75</f>
        <v>10706884</v>
      </c>
      <c r="K75" s="22">
        <f>INDEX(Notes!$I$2:$N$11,MATCH(Notes!$B$2,Notes!$I$2:$I$11,0),5)*$D75</f>
        <v>5322440</v>
      </c>
      <c r="L75" s="22">
        <f>INDEX(Notes!$I$2:$N$11,MATCH(Notes!$B$2,Notes!$I$2:$I$11,0),6)*$E75</f>
        <v>7983660</v>
      </c>
      <c r="M75" s="22">
        <f>IF(Notes!$B$2="June",'Payment Total'!$F75,0)</f>
        <v>2661220</v>
      </c>
      <c r="N75" s="22">
        <f t="shared" si="7"/>
        <v>0</v>
      </c>
      <c r="P75" s="26">
        <v>12780000</v>
      </c>
      <c r="Q75" s="26">
        <v>2661220</v>
      </c>
      <c r="R75" s="21" t="str">
        <f t="shared" si="8"/>
        <v>1278</v>
      </c>
      <c r="S75" s="44" t="str">
        <f t="shared" si="9"/>
        <v>1278</v>
      </c>
      <c r="T75" s="20">
        <f t="shared" si="10"/>
        <v>0</v>
      </c>
      <c r="V75" s="46" t="s">
        <v>878</v>
      </c>
      <c r="W75" s="26">
        <v>2661220</v>
      </c>
      <c r="X75" s="21" t="str">
        <f t="shared" si="11"/>
        <v>1278</v>
      </c>
      <c r="Y75" s="44" t="str">
        <f t="shared" si="12"/>
        <v>1278</v>
      </c>
      <c r="Z75" s="45">
        <f t="shared" si="13"/>
        <v>0</v>
      </c>
    </row>
    <row r="76" spans="1:26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485110</v>
      </c>
      <c r="D76" s="164">
        <f>INDEX(Data[],MATCH($A76,Data[Dist],0),MATCH(D$6,Data[#Headers],0))</f>
        <v>482044</v>
      </c>
      <c r="E76" s="164">
        <f>INDEX(Data[],MATCH($A76,Data[Dist],0),MATCH(E$6,Data[#Headers],0))</f>
        <v>482044</v>
      </c>
      <c r="F76" s="164">
        <f>INDEX(Data[],MATCH($A76,Data[Dist],0),MATCH(F$6,Data[#Headers],0))</f>
        <v>482045</v>
      </c>
      <c r="G76" s="22">
        <f>INDEX(Data[],MATCH($A76,Data[Dist],0),MATCH(G$6,Data[#Headers],0))</f>
        <v>4832705</v>
      </c>
      <c r="H76" s="22">
        <f>INDEX(Data[],MATCH($A76,Data[Dist],0),MATCH(H$6,Data[#Headers],0))-G76</f>
        <v>0</v>
      </c>
      <c r="I76" s="25"/>
      <c r="J76" s="22">
        <f>INDEX(Notes!$I$2:$N$11,MATCH(Notes!$B$2,Notes!$I$2:$I$11,0),4)*$C76</f>
        <v>1940440</v>
      </c>
      <c r="K76" s="22">
        <f>INDEX(Notes!$I$2:$N$11,MATCH(Notes!$B$2,Notes!$I$2:$I$11,0),5)*$D76</f>
        <v>964088</v>
      </c>
      <c r="L76" s="22">
        <f>INDEX(Notes!$I$2:$N$11,MATCH(Notes!$B$2,Notes!$I$2:$I$11,0),6)*$E76</f>
        <v>1446132</v>
      </c>
      <c r="M76" s="22">
        <f>IF(Notes!$B$2="June",'Payment Total'!$F76,0)</f>
        <v>482045</v>
      </c>
      <c r="N76" s="22">
        <f t="shared" si="7"/>
        <v>0</v>
      </c>
      <c r="P76" s="26">
        <v>13320000</v>
      </c>
      <c r="Q76" s="26">
        <v>482045</v>
      </c>
      <c r="R76" s="21" t="str">
        <f t="shared" si="8"/>
        <v>1332</v>
      </c>
      <c r="S76" s="44" t="str">
        <f t="shared" si="9"/>
        <v>1332</v>
      </c>
      <c r="T76" s="20">
        <f t="shared" si="10"/>
        <v>0</v>
      </c>
      <c r="V76" s="46" t="s">
        <v>879</v>
      </c>
      <c r="W76" s="26">
        <v>482045</v>
      </c>
      <c r="X76" s="21" t="str">
        <f t="shared" si="11"/>
        <v>1332</v>
      </c>
      <c r="Y76" s="44" t="str">
        <f t="shared" si="12"/>
        <v>1332</v>
      </c>
      <c r="Z76" s="45">
        <f t="shared" si="13"/>
        <v>0</v>
      </c>
    </row>
    <row r="77" spans="1:26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2852363</v>
      </c>
      <c r="D77" s="164">
        <f>INDEX(Data[],MATCH($A77,Data[Dist],0),MATCH(D$6,Data[#Headers],0))</f>
        <v>2830870</v>
      </c>
      <c r="E77" s="164">
        <f>INDEX(Data[],MATCH($A77,Data[Dist],0),MATCH(E$6,Data[#Headers],0))</f>
        <v>2830869</v>
      </c>
      <c r="F77" s="164">
        <f>INDEX(Data[],MATCH($A77,Data[Dist],0),MATCH(F$6,Data[#Headers],0))</f>
        <v>2830870</v>
      </c>
      <c r="G77" s="22">
        <f>INDEX(Data[],MATCH($A77,Data[Dist],0),MATCH(G$6,Data[#Headers],0))</f>
        <v>28394669</v>
      </c>
      <c r="H77" s="22">
        <f>INDEX(Data[],MATCH($A77,Data[Dist],0),MATCH(H$6,Data[#Headers],0))-G77</f>
        <v>0</v>
      </c>
      <c r="I77" s="25"/>
      <c r="J77" s="22">
        <f>INDEX(Notes!$I$2:$N$11,MATCH(Notes!$B$2,Notes!$I$2:$I$11,0),4)*$C77</f>
        <v>11409452</v>
      </c>
      <c r="K77" s="22">
        <f>INDEX(Notes!$I$2:$N$11,MATCH(Notes!$B$2,Notes!$I$2:$I$11,0),5)*$D77</f>
        <v>5661740</v>
      </c>
      <c r="L77" s="22">
        <f>INDEX(Notes!$I$2:$N$11,MATCH(Notes!$B$2,Notes!$I$2:$I$11,0),6)*$E77</f>
        <v>8492607</v>
      </c>
      <c r="M77" s="22">
        <f>IF(Notes!$B$2="June",'Payment Total'!$F77,0)</f>
        <v>2830870</v>
      </c>
      <c r="N77" s="22">
        <f t="shared" si="7"/>
        <v>0</v>
      </c>
      <c r="P77" s="26">
        <v>13370000</v>
      </c>
      <c r="Q77" s="26">
        <v>2830870</v>
      </c>
      <c r="R77" s="21" t="str">
        <f t="shared" si="8"/>
        <v>1337</v>
      </c>
      <c r="S77" s="44" t="str">
        <f t="shared" si="9"/>
        <v>1337</v>
      </c>
      <c r="T77" s="20">
        <f t="shared" si="10"/>
        <v>0</v>
      </c>
      <c r="V77" s="46" t="s">
        <v>880</v>
      </c>
      <c r="W77" s="26">
        <v>2830870</v>
      </c>
      <c r="X77" s="21" t="str">
        <f t="shared" si="11"/>
        <v>1337</v>
      </c>
      <c r="Y77" s="44" t="str">
        <f t="shared" si="12"/>
        <v>1337</v>
      </c>
      <c r="Z77" s="45">
        <f t="shared" si="13"/>
        <v>0</v>
      </c>
    </row>
    <row r="78" spans="1:26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288533</v>
      </c>
      <c r="D78" s="164">
        <f>INDEX(Data[],MATCH($A78,Data[Dist],0),MATCH(D$6,Data[#Headers],0))</f>
        <v>286622</v>
      </c>
      <c r="E78" s="164">
        <f>INDEX(Data[],MATCH($A78,Data[Dist],0),MATCH(E$6,Data[#Headers],0))</f>
        <v>286622</v>
      </c>
      <c r="F78" s="164">
        <f>INDEX(Data[],MATCH($A78,Data[Dist],0),MATCH(F$6,Data[#Headers],0))</f>
        <v>286621</v>
      </c>
      <c r="G78" s="22">
        <f>INDEX(Data[],MATCH($A78,Data[Dist],0),MATCH(G$6,Data[#Headers],0))</f>
        <v>2873863</v>
      </c>
      <c r="H78" s="22">
        <f>INDEX(Data[],MATCH($A78,Data[Dist],0),MATCH(H$6,Data[#Headers],0))-G78</f>
        <v>0</v>
      </c>
      <c r="I78" s="25"/>
      <c r="J78" s="22">
        <f>INDEX(Notes!$I$2:$N$11,MATCH(Notes!$B$2,Notes!$I$2:$I$11,0),4)*$C78</f>
        <v>1154132</v>
      </c>
      <c r="K78" s="22">
        <f>INDEX(Notes!$I$2:$N$11,MATCH(Notes!$B$2,Notes!$I$2:$I$11,0),5)*$D78</f>
        <v>573244</v>
      </c>
      <c r="L78" s="22">
        <f>INDEX(Notes!$I$2:$N$11,MATCH(Notes!$B$2,Notes!$I$2:$I$11,0),6)*$E78</f>
        <v>859866</v>
      </c>
      <c r="M78" s="22">
        <f>IF(Notes!$B$2="June",'Payment Total'!$F78,0)</f>
        <v>286621</v>
      </c>
      <c r="N78" s="22">
        <f t="shared" si="7"/>
        <v>0</v>
      </c>
      <c r="P78" s="26">
        <v>13500000</v>
      </c>
      <c r="Q78" s="26">
        <v>286621</v>
      </c>
      <c r="R78" s="21" t="str">
        <f t="shared" si="8"/>
        <v>1350</v>
      </c>
      <c r="S78" s="44" t="str">
        <f t="shared" si="9"/>
        <v>1350</v>
      </c>
      <c r="T78" s="20">
        <f t="shared" si="10"/>
        <v>0</v>
      </c>
      <c r="V78" s="46" t="s">
        <v>881</v>
      </c>
      <c r="W78" s="26">
        <v>286621</v>
      </c>
      <c r="X78" s="21" t="str">
        <f t="shared" si="11"/>
        <v>1350</v>
      </c>
      <c r="Y78" s="44" t="str">
        <f t="shared" si="12"/>
        <v>1350</v>
      </c>
      <c r="Z78" s="45">
        <f t="shared" si="13"/>
        <v>0</v>
      </c>
    </row>
    <row r="79" spans="1:26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260138</v>
      </c>
      <c r="D79" s="164">
        <f>INDEX(Data[],MATCH($A79,Data[Dist],0),MATCH(D$6,Data[#Headers],0))</f>
        <v>258004</v>
      </c>
      <c r="E79" s="164">
        <f>INDEX(Data[],MATCH($A79,Data[Dist],0),MATCH(E$6,Data[#Headers],0))</f>
        <v>258004</v>
      </c>
      <c r="F79" s="164">
        <f>INDEX(Data[],MATCH($A79,Data[Dist],0),MATCH(F$6,Data[#Headers],0))</f>
        <v>258005</v>
      </c>
      <c r="G79" s="22">
        <f>INDEX(Data[],MATCH($A79,Data[Dist],0),MATCH(G$6,Data[#Headers],0))</f>
        <v>2588577</v>
      </c>
      <c r="H79" s="22">
        <f>INDEX(Data[],MATCH($A79,Data[Dist],0),MATCH(H$6,Data[#Headers],0))-G79</f>
        <v>0</v>
      </c>
      <c r="I79" s="25"/>
      <c r="J79" s="22">
        <f>INDEX(Notes!$I$2:$N$11,MATCH(Notes!$B$2,Notes!$I$2:$I$11,0),4)*$C79</f>
        <v>1040552</v>
      </c>
      <c r="K79" s="22">
        <f>INDEX(Notes!$I$2:$N$11,MATCH(Notes!$B$2,Notes!$I$2:$I$11,0),5)*$D79</f>
        <v>516008</v>
      </c>
      <c r="L79" s="22">
        <f>INDEX(Notes!$I$2:$N$11,MATCH(Notes!$B$2,Notes!$I$2:$I$11,0),6)*$E79</f>
        <v>774012</v>
      </c>
      <c r="M79" s="22">
        <f>IF(Notes!$B$2="June",'Payment Total'!$F79,0)</f>
        <v>258005</v>
      </c>
      <c r="N79" s="22">
        <f t="shared" si="7"/>
        <v>0</v>
      </c>
      <c r="P79" s="26">
        <v>13590000</v>
      </c>
      <c r="Q79" s="26">
        <v>258005</v>
      </c>
      <c r="R79" s="21" t="str">
        <f t="shared" si="8"/>
        <v>1359</v>
      </c>
      <c r="S79" s="44" t="str">
        <f t="shared" si="9"/>
        <v>1359</v>
      </c>
      <c r="T79" s="20">
        <f t="shared" si="10"/>
        <v>0</v>
      </c>
      <c r="V79" s="46" t="s">
        <v>882</v>
      </c>
      <c r="W79" s="26">
        <v>258005</v>
      </c>
      <c r="X79" s="21" t="str">
        <f t="shared" si="11"/>
        <v>1359</v>
      </c>
      <c r="Y79" s="44" t="str">
        <f t="shared" si="12"/>
        <v>1359</v>
      </c>
      <c r="Z79" s="45">
        <f t="shared" si="13"/>
        <v>0</v>
      </c>
    </row>
    <row r="80" spans="1:26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525768</v>
      </c>
      <c r="D80" s="164">
        <f>INDEX(Data[],MATCH($A80,Data[Dist],0),MATCH(D$6,Data[#Headers],0))</f>
        <v>522491</v>
      </c>
      <c r="E80" s="164">
        <f>INDEX(Data[],MATCH($A80,Data[Dist],0),MATCH(E$6,Data[#Headers],0))</f>
        <v>522492</v>
      </c>
      <c r="F80" s="164">
        <f>INDEX(Data[],MATCH($A80,Data[Dist],0),MATCH(F$6,Data[#Headers],0))</f>
        <v>522490</v>
      </c>
      <c r="G80" s="22">
        <f>INDEX(Data[],MATCH($A80,Data[Dist],0),MATCH(G$6,Data[#Headers],0))</f>
        <v>5238020</v>
      </c>
      <c r="H80" s="22">
        <f>INDEX(Data[],MATCH($A80,Data[Dist],0),MATCH(H$6,Data[#Headers],0))-G80</f>
        <v>0</v>
      </c>
      <c r="I80" s="25"/>
      <c r="J80" s="22">
        <f>INDEX(Notes!$I$2:$N$11,MATCH(Notes!$B$2,Notes!$I$2:$I$11,0),4)*$C80</f>
        <v>2103072</v>
      </c>
      <c r="K80" s="22">
        <f>INDEX(Notes!$I$2:$N$11,MATCH(Notes!$B$2,Notes!$I$2:$I$11,0),5)*$D80</f>
        <v>1044982</v>
      </c>
      <c r="L80" s="22">
        <f>INDEX(Notes!$I$2:$N$11,MATCH(Notes!$B$2,Notes!$I$2:$I$11,0),6)*$E80</f>
        <v>1567476</v>
      </c>
      <c r="M80" s="22">
        <f>IF(Notes!$B$2="June",'Payment Total'!$F80,0)</f>
        <v>522490</v>
      </c>
      <c r="N80" s="22">
        <f t="shared" si="7"/>
        <v>0</v>
      </c>
      <c r="P80" s="26">
        <v>13680000</v>
      </c>
      <c r="Q80" s="26">
        <v>522490</v>
      </c>
      <c r="R80" s="21" t="str">
        <f t="shared" si="8"/>
        <v>1368</v>
      </c>
      <c r="S80" s="44" t="str">
        <f t="shared" si="9"/>
        <v>1368</v>
      </c>
      <c r="T80" s="20">
        <f t="shared" si="10"/>
        <v>0</v>
      </c>
      <c r="V80" s="46" t="s">
        <v>883</v>
      </c>
      <c r="W80" s="26">
        <v>522490</v>
      </c>
      <c r="X80" s="21" t="str">
        <f t="shared" si="11"/>
        <v>1368</v>
      </c>
      <c r="Y80" s="44" t="str">
        <f t="shared" si="12"/>
        <v>1368</v>
      </c>
      <c r="Z80" s="45">
        <f t="shared" si="13"/>
        <v>0</v>
      </c>
    </row>
    <row r="81" spans="1:26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251129</v>
      </c>
      <c r="D81" s="164">
        <f>INDEX(Data[],MATCH($A81,Data[Dist],0),MATCH(D$6,Data[#Headers],0))</f>
        <v>249302</v>
      </c>
      <c r="E81" s="164">
        <f>INDEX(Data[],MATCH($A81,Data[Dist],0),MATCH(E$6,Data[#Headers],0))</f>
        <v>249302</v>
      </c>
      <c r="F81" s="164">
        <f>INDEX(Data[],MATCH($A81,Data[Dist],0),MATCH(F$6,Data[#Headers],0))</f>
        <v>249300</v>
      </c>
      <c r="G81" s="22">
        <f>INDEX(Data[],MATCH($A81,Data[Dist],0),MATCH(G$6,Data[#Headers],0))</f>
        <v>2500326</v>
      </c>
      <c r="H81" s="22">
        <f>INDEX(Data[],MATCH($A81,Data[Dist],0),MATCH(H$6,Data[#Headers],0))-G81</f>
        <v>0</v>
      </c>
      <c r="I81" s="25"/>
      <c r="J81" s="22">
        <f>INDEX(Notes!$I$2:$N$11,MATCH(Notes!$B$2,Notes!$I$2:$I$11,0),4)*$C81</f>
        <v>1004516</v>
      </c>
      <c r="K81" s="22">
        <f>INDEX(Notes!$I$2:$N$11,MATCH(Notes!$B$2,Notes!$I$2:$I$11,0),5)*$D81</f>
        <v>498604</v>
      </c>
      <c r="L81" s="22">
        <f>INDEX(Notes!$I$2:$N$11,MATCH(Notes!$B$2,Notes!$I$2:$I$11,0),6)*$E81</f>
        <v>747906</v>
      </c>
      <c r="M81" s="22">
        <f>IF(Notes!$B$2="June",'Payment Total'!$F81,0)</f>
        <v>249300</v>
      </c>
      <c r="N81" s="22">
        <f t="shared" si="7"/>
        <v>0</v>
      </c>
      <c r="P81" s="26">
        <v>14130000</v>
      </c>
      <c r="Q81" s="26">
        <v>249300</v>
      </c>
      <c r="R81" s="21" t="str">
        <f t="shared" si="8"/>
        <v>1413</v>
      </c>
      <c r="S81" s="44" t="str">
        <f t="shared" si="9"/>
        <v>1413</v>
      </c>
      <c r="T81" s="20">
        <f t="shared" si="10"/>
        <v>0</v>
      </c>
      <c r="V81" s="46" t="s">
        <v>884</v>
      </c>
      <c r="W81" s="26">
        <v>249300</v>
      </c>
      <c r="X81" s="21" t="str">
        <f t="shared" si="11"/>
        <v>1413</v>
      </c>
      <c r="Y81" s="44" t="str">
        <f t="shared" si="12"/>
        <v>1413</v>
      </c>
      <c r="Z81" s="45">
        <f t="shared" si="13"/>
        <v>0</v>
      </c>
    </row>
    <row r="82" spans="1:26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212832</v>
      </c>
      <c r="D82" s="164">
        <f>INDEX(Data[],MATCH($A82,Data[Dist],0),MATCH(D$6,Data[#Headers],0))</f>
        <v>211170</v>
      </c>
      <c r="E82" s="164">
        <f>INDEX(Data[],MATCH($A82,Data[Dist],0),MATCH(E$6,Data[#Headers],0))</f>
        <v>211170</v>
      </c>
      <c r="F82" s="164">
        <f>INDEX(Data[],MATCH($A82,Data[Dist],0),MATCH(F$6,Data[#Headers],0))</f>
        <v>211171</v>
      </c>
      <c r="G82" s="22">
        <f>INDEX(Data[],MATCH($A82,Data[Dist],0),MATCH(G$6,Data[#Headers],0))</f>
        <v>2118349</v>
      </c>
      <c r="H82" s="22">
        <f>INDEX(Data[],MATCH($A82,Data[Dist],0),MATCH(H$6,Data[#Headers],0))-G82</f>
        <v>0</v>
      </c>
      <c r="I82" s="25"/>
      <c r="J82" s="22">
        <f>INDEX(Notes!$I$2:$N$11,MATCH(Notes!$B$2,Notes!$I$2:$I$11,0),4)*$C82</f>
        <v>851328</v>
      </c>
      <c r="K82" s="22">
        <f>INDEX(Notes!$I$2:$N$11,MATCH(Notes!$B$2,Notes!$I$2:$I$11,0),5)*$D82</f>
        <v>422340</v>
      </c>
      <c r="L82" s="22">
        <f>INDEX(Notes!$I$2:$N$11,MATCH(Notes!$B$2,Notes!$I$2:$I$11,0),6)*$E82</f>
        <v>633510</v>
      </c>
      <c r="M82" s="22">
        <f>IF(Notes!$B$2="June",'Payment Total'!$F82,0)</f>
        <v>211171</v>
      </c>
      <c r="N82" s="22">
        <f t="shared" si="7"/>
        <v>0</v>
      </c>
      <c r="P82" s="26">
        <v>14310000</v>
      </c>
      <c r="Q82" s="26">
        <v>211171</v>
      </c>
      <c r="R82" s="21" t="str">
        <f t="shared" si="8"/>
        <v>1431</v>
      </c>
      <c r="S82" s="44" t="str">
        <f t="shared" si="9"/>
        <v>1431</v>
      </c>
      <c r="T82" s="20">
        <f t="shared" si="10"/>
        <v>0</v>
      </c>
      <c r="V82" s="46" t="s">
        <v>885</v>
      </c>
      <c r="W82" s="26">
        <v>211171</v>
      </c>
      <c r="X82" s="21" t="str">
        <f t="shared" si="11"/>
        <v>1431</v>
      </c>
      <c r="Y82" s="44" t="str">
        <f t="shared" si="12"/>
        <v>1431</v>
      </c>
      <c r="Z82" s="45">
        <f t="shared" si="13"/>
        <v>0</v>
      </c>
    </row>
    <row r="83" spans="1:26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6735591</v>
      </c>
      <c r="D83" s="164">
        <f>INDEX(Data[],MATCH($A83,Data[Dist],0),MATCH(D$6,Data[#Headers],0))</f>
        <v>6697604</v>
      </c>
      <c r="E83" s="164">
        <f>INDEX(Data[],MATCH($A83,Data[Dist],0),MATCH(E$6,Data[#Headers],0))</f>
        <v>6697604</v>
      </c>
      <c r="F83" s="164">
        <f>INDEX(Data[],MATCH($A83,Data[Dist],0),MATCH(F$6,Data[#Headers],0))</f>
        <v>6697602</v>
      </c>
      <c r="G83" s="22">
        <f>INDEX(Data[],MATCH($A83,Data[Dist],0),MATCH(G$6,Data[#Headers],0))</f>
        <v>67127986</v>
      </c>
      <c r="H83" s="22">
        <f>INDEX(Data[],MATCH($A83,Data[Dist],0),MATCH(H$6,Data[#Headers],0))-G83</f>
        <v>0</v>
      </c>
      <c r="I83" s="25"/>
      <c r="J83" s="22">
        <f>INDEX(Notes!$I$2:$N$11,MATCH(Notes!$B$2,Notes!$I$2:$I$11,0),4)*$C83</f>
        <v>26942364</v>
      </c>
      <c r="K83" s="22">
        <f>INDEX(Notes!$I$2:$N$11,MATCH(Notes!$B$2,Notes!$I$2:$I$11,0),5)*$D83</f>
        <v>13395208</v>
      </c>
      <c r="L83" s="22">
        <f>INDEX(Notes!$I$2:$N$11,MATCH(Notes!$B$2,Notes!$I$2:$I$11,0),6)*$E83</f>
        <v>20092812</v>
      </c>
      <c r="M83" s="22">
        <f>IF(Notes!$B$2="June",'Payment Total'!$F83,0)</f>
        <v>6697602</v>
      </c>
      <c r="N83" s="22">
        <f t="shared" si="7"/>
        <v>0</v>
      </c>
      <c r="P83" s="26">
        <v>14760000</v>
      </c>
      <c r="Q83" s="26">
        <v>6697602</v>
      </c>
      <c r="R83" s="21" t="str">
        <f t="shared" si="8"/>
        <v>1476</v>
      </c>
      <c r="S83" s="44" t="str">
        <f t="shared" si="9"/>
        <v>1476</v>
      </c>
      <c r="T83" s="20">
        <f t="shared" si="10"/>
        <v>0</v>
      </c>
      <c r="V83" s="46" t="s">
        <v>886</v>
      </c>
      <c r="W83" s="26">
        <v>6697602</v>
      </c>
      <c r="X83" s="21" t="str">
        <f t="shared" si="11"/>
        <v>1476</v>
      </c>
      <c r="Y83" s="44" t="str">
        <f t="shared" si="12"/>
        <v>1476</v>
      </c>
      <c r="Z83" s="45">
        <f t="shared" si="13"/>
        <v>0</v>
      </c>
    </row>
    <row r="84" spans="1:26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921640</v>
      </c>
      <c r="D84" s="164">
        <f>INDEX(Data[],MATCH($A84,Data[Dist],0),MATCH(D$6,Data[#Headers],0))</f>
        <v>915516</v>
      </c>
      <c r="E84" s="164">
        <f>INDEX(Data[],MATCH($A84,Data[Dist],0),MATCH(E$6,Data[#Headers],0))</f>
        <v>915515</v>
      </c>
      <c r="F84" s="164">
        <f>INDEX(Data[],MATCH($A84,Data[Dist],0),MATCH(F$6,Data[#Headers],0))</f>
        <v>915516</v>
      </c>
      <c r="G84" s="22">
        <f>INDEX(Data[],MATCH($A84,Data[Dist],0),MATCH(G$6,Data[#Headers],0))</f>
        <v>9179653</v>
      </c>
      <c r="H84" s="22">
        <f>INDEX(Data[],MATCH($A84,Data[Dist],0),MATCH(H$6,Data[#Headers],0))-G84</f>
        <v>0</v>
      </c>
      <c r="I84" s="25"/>
      <c r="J84" s="22">
        <f>INDEX(Notes!$I$2:$N$11,MATCH(Notes!$B$2,Notes!$I$2:$I$11,0),4)*$C84</f>
        <v>3686560</v>
      </c>
      <c r="K84" s="22">
        <f>INDEX(Notes!$I$2:$N$11,MATCH(Notes!$B$2,Notes!$I$2:$I$11,0),5)*$D84</f>
        <v>1831032</v>
      </c>
      <c r="L84" s="22">
        <f>INDEX(Notes!$I$2:$N$11,MATCH(Notes!$B$2,Notes!$I$2:$I$11,0),6)*$E84</f>
        <v>2746545</v>
      </c>
      <c r="M84" s="22">
        <f>IF(Notes!$B$2="June",'Payment Total'!$F84,0)</f>
        <v>915516</v>
      </c>
      <c r="N84" s="22">
        <f t="shared" si="7"/>
        <v>0</v>
      </c>
      <c r="P84" s="26">
        <v>15030000</v>
      </c>
      <c r="Q84" s="26">
        <v>915516</v>
      </c>
      <c r="R84" s="21" t="str">
        <f t="shared" si="8"/>
        <v>1503</v>
      </c>
      <c r="S84" s="44" t="str">
        <f t="shared" si="9"/>
        <v>1503</v>
      </c>
      <c r="T84" s="20">
        <f t="shared" si="10"/>
        <v>0</v>
      </c>
      <c r="V84" s="46" t="s">
        <v>887</v>
      </c>
      <c r="W84" s="26">
        <v>915516</v>
      </c>
      <c r="X84" s="21" t="str">
        <f t="shared" si="11"/>
        <v>1503</v>
      </c>
      <c r="Y84" s="44" t="str">
        <f t="shared" si="12"/>
        <v>1503</v>
      </c>
      <c r="Z84" s="45">
        <f t="shared" si="13"/>
        <v>0</v>
      </c>
    </row>
    <row r="85" spans="1:26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1634862</v>
      </c>
      <c r="D85" s="164">
        <f>INDEX(Data[],MATCH($A85,Data[Dist],0),MATCH(D$6,Data[#Headers],0))</f>
        <v>1623118</v>
      </c>
      <c r="E85" s="164">
        <f>INDEX(Data[],MATCH($A85,Data[Dist],0),MATCH(E$6,Data[#Headers],0))</f>
        <v>1623117</v>
      </c>
      <c r="F85" s="164">
        <f>INDEX(Data[],MATCH($A85,Data[Dist],0),MATCH(F$6,Data[#Headers],0))</f>
        <v>1623118</v>
      </c>
      <c r="G85" s="22">
        <f>INDEX(Data[],MATCH($A85,Data[Dist],0),MATCH(G$6,Data[#Headers],0))</f>
        <v>16278153</v>
      </c>
      <c r="H85" s="22">
        <f>INDEX(Data[],MATCH($A85,Data[Dist],0),MATCH(H$6,Data[#Headers],0))-G85</f>
        <v>0</v>
      </c>
      <c r="I85" s="25"/>
      <c r="J85" s="22">
        <f>INDEX(Notes!$I$2:$N$11,MATCH(Notes!$B$2,Notes!$I$2:$I$11,0),4)*$C85</f>
        <v>6539448</v>
      </c>
      <c r="K85" s="22">
        <f>INDEX(Notes!$I$2:$N$11,MATCH(Notes!$B$2,Notes!$I$2:$I$11,0),5)*$D85</f>
        <v>3246236</v>
      </c>
      <c r="L85" s="22">
        <f>INDEX(Notes!$I$2:$N$11,MATCH(Notes!$B$2,Notes!$I$2:$I$11,0),6)*$E85</f>
        <v>4869351</v>
      </c>
      <c r="M85" s="22">
        <f>IF(Notes!$B$2="June",'Payment Total'!$F85,0)</f>
        <v>1623118</v>
      </c>
      <c r="N85" s="22">
        <f t="shared" si="7"/>
        <v>0</v>
      </c>
      <c r="P85" s="26">
        <v>15760000</v>
      </c>
      <c r="Q85" s="26">
        <v>1623118</v>
      </c>
      <c r="R85" s="21" t="str">
        <f t="shared" si="8"/>
        <v>1576</v>
      </c>
      <c r="S85" s="44" t="str">
        <f t="shared" si="9"/>
        <v>1576</v>
      </c>
      <c r="T85" s="20">
        <f t="shared" si="10"/>
        <v>0</v>
      </c>
      <c r="V85" s="46" t="s">
        <v>888</v>
      </c>
      <c r="W85" s="26">
        <v>1623118</v>
      </c>
      <c r="X85" s="21" t="str">
        <f t="shared" si="11"/>
        <v>1576</v>
      </c>
      <c r="Y85" s="44" t="str">
        <f t="shared" si="12"/>
        <v>1576</v>
      </c>
      <c r="Z85" s="45">
        <f t="shared" si="13"/>
        <v>0</v>
      </c>
    </row>
    <row r="86" spans="1:26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324711</v>
      </c>
      <c r="D86" s="164">
        <f>INDEX(Data[],MATCH($A86,Data[Dist],0),MATCH(D$6,Data[#Headers],0))</f>
        <v>322574</v>
      </c>
      <c r="E86" s="164">
        <f>INDEX(Data[],MATCH($A86,Data[Dist],0),MATCH(E$6,Data[#Headers],0))</f>
        <v>322574</v>
      </c>
      <c r="F86" s="164">
        <f>INDEX(Data[],MATCH($A86,Data[Dist],0),MATCH(F$6,Data[#Headers],0))</f>
        <v>322572</v>
      </c>
      <c r="G86" s="22">
        <f>INDEX(Data[],MATCH($A86,Data[Dist],0),MATCH(G$6,Data[#Headers],0))</f>
        <v>3234286</v>
      </c>
      <c r="H86" s="22">
        <f>INDEX(Data[],MATCH($A86,Data[Dist],0),MATCH(H$6,Data[#Headers],0))-G86</f>
        <v>0</v>
      </c>
      <c r="I86" s="25"/>
      <c r="J86" s="22">
        <f>INDEX(Notes!$I$2:$N$11,MATCH(Notes!$B$2,Notes!$I$2:$I$11,0),4)*$C86</f>
        <v>1298844</v>
      </c>
      <c r="K86" s="22">
        <f>INDEX(Notes!$I$2:$N$11,MATCH(Notes!$B$2,Notes!$I$2:$I$11,0),5)*$D86</f>
        <v>645148</v>
      </c>
      <c r="L86" s="22">
        <f>INDEX(Notes!$I$2:$N$11,MATCH(Notes!$B$2,Notes!$I$2:$I$11,0),6)*$E86</f>
        <v>967722</v>
      </c>
      <c r="M86" s="22">
        <f>IF(Notes!$B$2="June",'Payment Total'!$F86,0)</f>
        <v>322572</v>
      </c>
      <c r="N86" s="22">
        <f t="shared" si="7"/>
        <v>0</v>
      </c>
      <c r="P86" s="26">
        <v>16020000</v>
      </c>
      <c r="Q86" s="26">
        <v>322572</v>
      </c>
      <c r="R86" s="21" t="str">
        <f t="shared" si="8"/>
        <v>1602</v>
      </c>
      <c r="S86" s="44" t="str">
        <f t="shared" si="9"/>
        <v>1602</v>
      </c>
      <c r="T86" s="20">
        <f t="shared" si="10"/>
        <v>0</v>
      </c>
      <c r="V86" s="46" t="s">
        <v>889</v>
      </c>
      <c r="W86" s="26">
        <v>322572</v>
      </c>
      <c r="X86" s="21" t="str">
        <f t="shared" si="11"/>
        <v>1602</v>
      </c>
      <c r="Y86" s="44" t="str">
        <f t="shared" si="12"/>
        <v>1602</v>
      </c>
      <c r="Z86" s="45">
        <f t="shared" si="13"/>
        <v>0</v>
      </c>
    </row>
    <row r="87" spans="1:26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10577621</v>
      </c>
      <c r="D87" s="164">
        <f>INDEX(Data[],MATCH($A87,Data[Dist],0),MATCH(D$6,Data[#Headers],0))</f>
        <v>10514202</v>
      </c>
      <c r="E87" s="164">
        <f>INDEX(Data[],MATCH($A87,Data[Dist],0),MATCH(E$6,Data[#Headers],0))</f>
        <v>10514202</v>
      </c>
      <c r="F87" s="164">
        <f>INDEX(Data[],MATCH($A87,Data[Dist],0),MATCH(F$6,Data[#Headers],0))</f>
        <v>10514200</v>
      </c>
      <c r="G87" s="22">
        <f>INDEX(Data[],MATCH($A87,Data[Dist],0),MATCH(G$6,Data[#Headers],0))</f>
        <v>105395694</v>
      </c>
      <c r="H87" s="22">
        <f>INDEX(Data[],MATCH($A87,Data[Dist],0),MATCH(H$6,Data[#Headers],0))-G87</f>
        <v>0</v>
      </c>
      <c r="I87" s="25"/>
      <c r="J87" s="22">
        <f>INDEX(Notes!$I$2:$N$11,MATCH(Notes!$B$2,Notes!$I$2:$I$11,0),4)*$C87</f>
        <v>42310484</v>
      </c>
      <c r="K87" s="22">
        <f>INDEX(Notes!$I$2:$N$11,MATCH(Notes!$B$2,Notes!$I$2:$I$11,0),5)*$D87</f>
        <v>21028404</v>
      </c>
      <c r="L87" s="22">
        <f>INDEX(Notes!$I$2:$N$11,MATCH(Notes!$B$2,Notes!$I$2:$I$11,0),6)*$E87</f>
        <v>31542606</v>
      </c>
      <c r="M87" s="22">
        <f>IF(Notes!$B$2="June",'Payment Total'!$F87,0)</f>
        <v>10514200</v>
      </c>
      <c r="N87" s="22">
        <f t="shared" si="7"/>
        <v>0</v>
      </c>
      <c r="P87" s="26">
        <v>16110000</v>
      </c>
      <c r="Q87" s="26">
        <v>10514200</v>
      </c>
      <c r="R87" s="21" t="str">
        <f t="shared" si="8"/>
        <v>1611</v>
      </c>
      <c r="S87" s="44" t="str">
        <f t="shared" si="9"/>
        <v>1611</v>
      </c>
      <c r="T87" s="20">
        <f t="shared" si="10"/>
        <v>0</v>
      </c>
      <c r="V87" s="46" t="s">
        <v>890</v>
      </c>
      <c r="W87" s="26">
        <v>10514200</v>
      </c>
      <c r="X87" s="21" t="str">
        <f t="shared" si="11"/>
        <v>1611</v>
      </c>
      <c r="Y87" s="44" t="str">
        <f t="shared" si="12"/>
        <v>1611</v>
      </c>
      <c r="Z87" s="45">
        <f t="shared" si="13"/>
        <v>0</v>
      </c>
    </row>
    <row r="88" spans="1:26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694352</v>
      </c>
      <c r="D88" s="164">
        <f>INDEX(Data[],MATCH($A88,Data[Dist],0),MATCH(D$6,Data[#Headers],0))</f>
        <v>689615</v>
      </c>
      <c r="E88" s="164">
        <f>INDEX(Data[],MATCH($A88,Data[Dist],0),MATCH(E$6,Data[#Headers],0))</f>
        <v>689615</v>
      </c>
      <c r="F88" s="164">
        <f>INDEX(Data[],MATCH($A88,Data[Dist],0),MATCH(F$6,Data[#Headers],0))</f>
        <v>689616</v>
      </c>
      <c r="G88" s="22">
        <f>INDEX(Data[],MATCH($A88,Data[Dist],0),MATCH(G$6,Data[#Headers],0))</f>
        <v>6915099</v>
      </c>
      <c r="H88" s="22">
        <f>INDEX(Data[],MATCH($A88,Data[Dist],0),MATCH(H$6,Data[#Headers],0))-G88</f>
        <v>0</v>
      </c>
      <c r="I88" s="25"/>
      <c r="J88" s="22">
        <f>INDEX(Notes!$I$2:$N$11,MATCH(Notes!$B$2,Notes!$I$2:$I$11,0),4)*$C88</f>
        <v>2777408</v>
      </c>
      <c r="K88" s="22">
        <f>INDEX(Notes!$I$2:$N$11,MATCH(Notes!$B$2,Notes!$I$2:$I$11,0),5)*$D88</f>
        <v>1379230</v>
      </c>
      <c r="L88" s="22">
        <f>INDEX(Notes!$I$2:$N$11,MATCH(Notes!$B$2,Notes!$I$2:$I$11,0),6)*$E88</f>
        <v>2068845</v>
      </c>
      <c r="M88" s="22">
        <f>IF(Notes!$B$2="June",'Payment Total'!$F88,0)</f>
        <v>689616</v>
      </c>
      <c r="N88" s="22">
        <f t="shared" si="7"/>
        <v>0</v>
      </c>
      <c r="P88" s="26">
        <v>16190000</v>
      </c>
      <c r="Q88" s="26">
        <v>689616</v>
      </c>
      <c r="R88" s="21" t="str">
        <f t="shared" si="8"/>
        <v>1619</v>
      </c>
      <c r="S88" s="44" t="str">
        <f t="shared" si="9"/>
        <v>1619</v>
      </c>
      <c r="T88" s="20">
        <f t="shared" si="10"/>
        <v>0</v>
      </c>
      <c r="V88" s="46" t="s">
        <v>891</v>
      </c>
      <c r="W88" s="26">
        <v>689616</v>
      </c>
      <c r="X88" s="21" t="str">
        <f t="shared" si="11"/>
        <v>1619</v>
      </c>
      <c r="Y88" s="44" t="str">
        <f t="shared" si="12"/>
        <v>1619</v>
      </c>
      <c r="Z88" s="45">
        <f t="shared" si="13"/>
        <v>0</v>
      </c>
    </row>
    <row r="89" spans="1:26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699976</v>
      </c>
      <c r="D89" s="164">
        <f>INDEX(Data[],MATCH($A89,Data[Dist],0),MATCH(D$6,Data[#Headers],0))</f>
        <v>694284</v>
      </c>
      <c r="E89" s="164">
        <f>INDEX(Data[],MATCH($A89,Data[Dist],0),MATCH(E$6,Data[#Headers],0))</f>
        <v>694284</v>
      </c>
      <c r="F89" s="164">
        <f>INDEX(Data[],MATCH($A89,Data[Dist],0),MATCH(F$6,Data[#Headers],0))</f>
        <v>694284</v>
      </c>
      <c r="G89" s="22">
        <f>INDEX(Data[],MATCH($A89,Data[Dist],0),MATCH(G$6,Data[#Headers],0))</f>
        <v>6965608</v>
      </c>
      <c r="H89" s="22">
        <f>INDEX(Data[],MATCH($A89,Data[Dist],0),MATCH(H$6,Data[#Headers],0))-G89</f>
        <v>0</v>
      </c>
      <c r="I89" s="25"/>
      <c r="J89" s="22">
        <f>INDEX(Notes!$I$2:$N$11,MATCH(Notes!$B$2,Notes!$I$2:$I$11,0),4)*$C89</f>
        <v>2799904</v>
      </c>
      <c r="K89" s="22">
        <f>INDEX(Notes!$I$2:$N$11,MATCH(Notes!$B$2,Notes!$I$2:$I$11,0),5)*$D89</f>
        <v>1388568</v>
      </c>
      <c r="L89" s="22">
        <f>INDEX(Notes!$I$2:$N$11,MATCH(Notes!$B$2,Notes!$I$2:$I$11,0),6)*$E89</f>
        <v>2082852</v>
      </c>
      <c r="M89" s="22">
        <f>IF(Notes!$B$2="June",'Payment Total'!$F89,0)</f>
        <v>694284</v>
      </c>
      <c r="N89" s="22">
        <f t="shared" si="7"/>
        <v>0</v>
      </c>
      <c r="P89" s="26">
        <v>16380000</v>
      </c>
      <c r="Q89" s="26">
        <v>694284</v>
      </c>
      <c r="R89" s="21" t="str">
        <f t="shared" si="8"/>
        <v>1638</v>
      </c>
      <c r="S89" s="44" t="str">
        <f t="shared" si="9"/>
        <v>1638</v>
      </c>
      <c r="T89" s="20">
        <f t="shared" si="10"/>
        <v>0</v>
      </c>
      <c r="V89" s="46" t="s">
        <v>892</v>
      </c>
      <c r="W89" s="26">
        <v>694284</v>
      </c>
      <c r="X89" s="21" t="str">
        <f t="shared" si="11"/>
        <v>1638</v>
      </c>
      <c r="Y89" s="44" t="str">
        <f t="shared" si="12"/>
        <v>1638</v>
      </c>
      <c r="Z89" s="45">
        <f t="shared" si="13"/>
        <v>0</v>
      </c>
    </row>
    <row r="90" spans="1:26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107770</v>
      </c>
      <c r="D90" s="164">
        <f>INDEX(Data[],MATCH($A90,Data[Dist],0),MATCH(D$6,Data[#Headers],0))</f>
        <v>106948</v>
      </c>
      <c r="E90" s="164">
        <f>INDEX(Data[],MATCH($A90,Data[Dist],0),MATCH(E$6,Data[#Headers],0))</f>
        <v>106948</v>
      </c>
      <c r="F90" s="164">
        <f>INDEX(Data[],MATCH($A90,Data[Dist],0),MATCH(F$6,Data[#Headers],0))</f>
        <v>106946</v>
      </c>
      <c r="G90" s="22">
        <f>INDEX(Data[],MATCH($A90,Data[Dist],0),MATCH(G$6,Data[#Headers],0))</f>
        <v>1072766</v>
      </c>
      <c r="H90" s="22">
        <f>INDEX(Data[],MATCH($A90,Data[Dist],0),MATCH(H$6,Data[#Headers],0))-G90</f>
        <v>0</v>
      </c>
      <c r="I90" s="25"/>
      <c r="J90" s="22">
        <f>INDEX(Notes!$I$2:$N$11,MATCH(Notes!$B$2,Notes!$I$2:$I$11,0),4)*$C90</f>
        <v>431080</v>
      </c>
      <c r="K90" s="22">
        <f>INDEX(Notes!$I$2:$N$11,MATCH(Notes!$B$2,Notes!$I$2:$I$11,0),5)*$D90</f>
        <v>213896</v>
      </c>
      <c r="L90" s="22">
        <f>INDEX(Notes!$I$2:$N$11,MATCH(Notes!$B$2,Notes!$I$2:$I$11,0),6)*$E90</f>
        <v>320844</v>
      </c>
      <c r="M90" s="22">
        <f>IF(Notes!$B$2="June",'Payment Total'!$F90,0)</f>
        <v>106946</v>
      </c>
      <c r="N90" s="22">
        <f t="shared" si="7"/>
        <v>0</v>
      </c>
      <c r="P90" s="26">
        <v>16750000</v>
      </c>
      <c r="Q90" s="26">
        <v>106946</v>
      </c>
      <c r="R90" s="21" t="str">
        <f t="shared" si="8"/>
        <v>1675</v>
      </c>
      <c r="S90" s="44" t="str">
        <f t="shared" si="9"/>
        <v>1675</v>
      </c>
      <c r="T90" s="20">
        <f t="shared" si="10"/>
        <v>0</v>
      </c>
      <c r="V90" s="46" t="s">
        <v>893</v>
      </c>
      <c r="W90" s="26">
        <v>106946</v>
      </c>
      <c r="X90" s="21" t="str">
        <f t="shared" si="11"/>
        <v>1675</v>
      </c>
      <c r="Y90" s="44" t="str">
        <f t="shared" si="12"/>
        <v>1675</v>
      </c>
      <c r="Z90" s="45">
        <f t="shared" si="13"/>
        <v>0</v>
      </c>
    </row>
    <row r="91" spans="1:26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1584880</v>
      </c>
      <c r="D91" s="164">
        <f>INDEX(Data[],MATCH($A91,Data[Dist],0),MATCH(D$6,Data[#Headers],0))</f>
        <v>1576133</v>
      </c>
      <c r="E91" s="164">
        <f>INDEX(Data[],MATCH($A91,Data[Dist],0),MATCH(E$6,Data[#Headers],0))</f>
        <v>1530291</v>
      </c>
      <c r="F91" s="164">
        <f>INDEX(Data[],MATCH($A91,Data[Dist],0),MATCH(F$6,Data[#Headers],0))</f>
        <v>1530290</v>
      </c>
      <c r="G91" s="22">
        <f>INDEX(Data[],MATCH($A91,Data[Dist],0),MATCH(G$6,Data[#Headers],0))</f>
        <v>15612949</v>
      </c>
      <c r="H91" s="22">
        <f>INDEX(Data[],MATCH($A91,Data[Dist],0),MATCH(H$6,Data[#Headers],0))-G91</f>
        <v>0</v>
      </c>
      <c r="I91" s="25"/>
      <c r="J91" s="22">
        <f>INDEX(Notes!$I$2:$N$11,MATCH(Notes!$B$2,Notes!$I$2:$I$11,0),4)*$C91</f>
        <v>6339520</v>
      </c>
      <c r="K91" s="22">
        <f>INDEX(Notes!$I$2:$N$11,MATCH(Notes!$B$2,Notes!$I$2:$I$11,0),5)*$D91</f>
        <v>3152266</v>
      </c>
      <c r="L91" s="22">
        <f>INDEX(Notes!$I$2:$N$11,MATCH(Notes!$B$2,Notes!$I$2:$I$11,0),6)*$E91</f>
        <v>4590873</v>
      </c>
      <c r="M91" s="22">
        <f>IF(Notes!$B$2="June",'Payment Total'!$F91,0)</f>
        <v>1530290</v>
      </c>
      <c r="N91" s="22">
        <f t="shared" si="7"/>
        <v>0</v>
      </c>
      <c r="P91" s="26">
        <v>17010000</v>
      </c>
      <c r="Q91" s="26">
        <v>1530290</v>
      </c>
      <c r="R91" s="21" t="str">
        <f t="shared" si="8"/>
        <v>1701</v>
      </c>
      <c r="S91" s="44" t="str">
        <f t="shared" si="9"/>
        <v>1701</v>
      </c>
      <c r="T91" s="20">
        <f t="shared" si="10"/>
        <v>0</v>
      </c>
      <c r="V91" s="46" t="s">
        <v>894</v>
      </c>
      <c r="W91" s="26">
        <v>1530290</v>
      </c>
      <c r="X91" s="21" t="str">
        <f t="shared" si="11"/>
        <v>1701</v>
      </c>
      <c r="Y91" s="44" t="str">
        <f t="shared" si="12"/>
        <v>1701</v>
      </c>
      <c r="Z91" s="45">
        <f t="shared" si="13"/>
        <v>0</v>
      </c>
    </row>
    <row r="92" spans="1:26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459042</v>
      </c>
      <c r="D92" s="164">
        <f>INDEX(Data[],MATCH($A92,Data[Dist],0),MATCH(D$6,Data[#Headers],0))</f>
        <v>455920</v>
      </c>
      <c r="E92" s="164">
        <f>INDEX(Data[],MATCH($A92,Data[Dist],0),MATCH(E$6,Data[#Headers],0))</f>
        <v>433842</v>
      </c>
      <c r="F92" s="164">
        <f>INDEX(Data[],MATCH($A92,Data[Dist],0),MATCH(F$6,Data[#Headers],0))</f>
        <v>433840</v>
      </c>
      <c r="G92" s="22">
        <f>INDEX(Data[],MATCH($A92,Data[Dist],0),MATCH(G$6,Data[#Headers],0))</f>
        <v>4483374</v>
      </c>
      <c r="H92" s="22">
        <f>INDEX(Data[],MATCH($A92,Data[Dist],0),MATCH(H$6,Data[#Headers],0))-G92</f>
        <v>0</v>
      </c>
      <c r="I92" s="25"/>
      <c r="J92" s="22">
        <f>INDEX(Notes!$I$2:$N$11,MATCH(Notes!$B$2,Notes!$I$2:$I$11,0),4)*$C92</f>
        <v>1836168</v>
      </c>
      <c r="K92" s="22">
        <f>INDEX(Notes!$I$2:$N$11,MATCH(Notes!$B$2,Notes!$I$2:$I$11,0),5)*$D92</f>
        <v>911840</v>
      </c>
      <c r="L92" s="22">
        <f>INDEX(Notes!$I$2:$N$11,MATCH(Notes!$B$2,Notes!$I$2:$I$11,0),6)*$E92</f>
        <v>1301526</v>
      </c>
      <c r="M92" s="22">
        <f>IF(Notes!$B$2="June",'Payment Total'!$F92,0)</f>
        <v>433840</v>
      </c>
      <c r="N92" s="22">
        <f t="shared" si="7"/>
        <v>0</v>
      </c>
      <c r="P92" s="26">
        <v>17190000</v>
      </c>
      <c r="Q92" s="26">
        <v>433840</v>
      </c>
      <c r="R92" s="21" t="str">
        <f t="shared" si="8"/>
        <v>1719</v>
      </c>
      <c r="S92" s="44" t="str">
        <f t="shared" si="9"/>
        <v>1719</v>
      </c>
      <c r="T92" s="20">
        <f t="shared" si="10"/>
        <v>0</v>
      </c>
      <c r="V92" s="46" t="s">
        <v>895</v>
      </c>
      <c r="W92" s="26">
        <v>433840</v>
      </c>
      <c r="X92" s="21" t="str">
        <f t="shared" si="11"/>
        <v>1719</v>
      </c>
      <c r="Y92" s="44" t="str">
        <f t="shared" si="12"/>
        <v>1719</v>
      </c>
      <c r="Z92" s="45">
        <f t="shared" si="13"/>
        <v>0</v>
      </c>
    </row>
    <row r="93" spans="1:26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24637413</v>
      </c>
      <c r="D93" s="164">
        <f>INDEX(Data[],MATCH($A93,Data[Dist],0),MATCH(D$6,Data[#Headers],0))</f>
        <v>24499791</v>
      </c>
      <c r="E93" s="164">
        <f>INDEX(Data[],MATCH($A93,Data[Dist],0),MATCH(E$6,Data[#Headers],0))</f>
        <v>24499791</v>
      </c>
      <c r="F93" s="164">
        <f>INDEX(Data[],MATCH($A93,Data[Dist],0),MATCH(F$6,Data[#Headers],0))</f>
        <v>24499790</v>
      </c>
      <c r="G93" s="22">
        <f>INDEX(Data[],MATCH($A93,Data[Dist],0),MATCH(G$6,Data[#Headers],0))</f>
        <v>245548397</v>
      </c>
      <c r="H93" s="22">
        <f>INDEX(Data[],MATCH($A93,Data[Dist],0),MATCH(H$6,Data[#Headers],0))-G93</f>
        <v>0</v>
      </c>
      <c r="I93" s="25"/>
      <c r="J93" s="22">
        <f>INDEX(Notes!$I$2:$N$11,MATCH(Notes!$B$2,Notes!$I$2:$I$11,0),4)*$C93</f>
        <v>98549652</v>
      </c>
      <c r="K93" s="22">
        <f>INDEX(Notes!$I$2:$N$11,MATCH(Notes!$B$2,Notes!$I$2:$I$11,0),5)*$D93</f>
        <v>48999582</v>
      </c>
      <c r="L93" s="22">
        <f>INDEX(Notes!$I$2:$N$11,MATCH(Notes!$B$2,Notes!$I$2:$I$11,0),6)*$E93</f>
        <v>73499373</v>
      </c>
      <c r="M93" s="22">
        <f>IF(Notes!$B$2="June",'Payment Total'!$F93,0)</f>
        <v>24499790</v>
      </c>
      <c r="N93" s="22">
        <f t="shared" si="7"/>
        <v>0</v>
      </c>
      <c r="P93" s="26">
        <v>17370000</v>
      </c>
      <c r="Q93" s="26">
        <v>24499790</v>
      </c>
      <c r="R93" s="21" t="str">
        <f t="shared" si="8"/>
        <v>1737</v>
      </c>
      <c r="S93" s="44" t="str">
        <f t="shared" si="9"/>
        <v>1737</v>
      </c>
      <c r="T93" s="20">
        <f t="shared" si="10"/>
        <v>0</v>
      </c>
      <c r="V93" s="46" t="s">
        <v>896</v>
      </c>
      <c r="W93" s="26">
        <v>24499790</v>
      </c>
      <c r="X93" s="21" t="str">
        <f t="shared" si="11"/>
        <v>1737</v>
      </c>
      <c r="Y93" s="44" t="str">
        <f t="shared" si="12"/>
        <v>1737</v>
      </c>
      <c r="Z93" s="45">
        <f t="shared" si="13"/>
        <v>0</v>
      </c>
    </row>
    <row r="94" spans="1:26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70760</v>
      </c>
      <c r="D94" s="164">
        <f>INDEX(Data[],MATCH($A94,Data[Dist],0),MATCH(D$6,Data[#Headers],0))</f>
        <v>70348</v>
      </c>
      <c r="E94" s="164">
        <f>INDEX(Data[],MATCH($A94,Data[Dist],0),MATCH(E$6,Data[#Headers],0))</f>
        <v>70349</v>
      </c>
      <c r="F94" s="164">
        <f>INDEX(Data[],MATCH($A94,Data[Dist],0),MATCH(F$6,Data[#Headers],0))</f>
        <v>70347</v>
      </c>
      <c r="G94" s="22">
        <f>INDEX(Data[],MATCH($A94,Data[Dist],0),MATCH(G$6,Data[#Headers],0))</f>
        <v>705130</v>
      </c>
      <c r="H94" s="22">
        <f>INDEX(Data[],MATCH($A94,Data[Dist],0),MATCH(H$6,Data[#Headers],0))-G94</f>
        <v>0</v>
      </c>
      <c r="I94" s="25"/>
      <c r="J94" s="22">
        <f>INDEX(Notes!$I$2:$N$11,MATCH(Notes!$B$2,Notes!$I$2:$I$11,0),4)*$C94</f>
        <v>283040</v>
      </c>
      <c r="K94" s="22">
        <f>INDEX(Notes!$I$2:$N$11,MATCH(Notes!$B$2,Notes!$I$2:$I$11,0),5)*$D94</f>
        <v>140696</v>
      </c>
      <c r="L94" s="22">
        <f>INDEX(Notes!$I$2:$N$11,MATCH(Notes!$B$2,Notes!$I$2:$I$11,0),6)*$E94</f>
        <v>211047</v>
      </c>
      <c r="M94" s="22">
        <f>IF(Notes!$B$2="June",'Payment Total'!$F94,0)</f>
        <v>70347</v>
      </c>
      <c r="N94" s="22">
        <f t="shared" si="7"/>
        <v>0</v>
      </c>
      <c r="P94" s="26">
        <v>17820000</v>
      </c>
      <c r="Q94" s="26">
        <v>70347</v>
      </c>
      <c r="R94" s="21" t="str">
        <f t="shared" si="8"/>
        <v>1782</v>
      </c>
      <c r="S94" s="44" t="str">
        <f t="shared" si="9"/>
        <v>1782</v>
      </c>
      <c r="T94" s="20">
        <f t="shared" si="10"/>
        <v>0</v>
      </c>
      <c r="V94" s="46" t="s">
        <v>897</v>
      </c>
      <c r="W94" s="26">
        <v>70347</v>
      </c>
      <c r="X94" s="21" t="str">
        <f t="shared" si="11"/>
        <v>1782</v>
      </c>
      <c r="Y94" s="44" t="str">
        <f t="shared" si="12"/>
        <v>1782</v>
      </c>
      <c r="Z94" s="45">
        <f t="shared" si="13"/>
        <v>0</v>
      </c>
    </row>
    <row r="95" spans="1:26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553446</v>
      </c>
      <c r="D95" s="164">
        <f>INDEX(Data[],MATCH($A95,Data[Dist],0),MATCH(D$6,Data[#Headers],0))</f>
        <v>549773</v>
      </c>
      <c r="E95" s="164">
        <f>INDEX(Data[],MATCH($A95,Data[Dist],0),MATCH(E$6,Data[#Headers],0))</f>
        <v>549773</v>
      </c>
      <c r="F95" s="164">
        <f>INDEX(Data[],MATCH($A95,Data[Dist],0),MATCH(F$6,Data[#Headers],0))</f>
        <v>549774</v>
      </c>
      <c r="G95" s="22">
        <f>INDEX(Data[],MATCH($A95,Data[Dist],0),MATCH(G$6,Data[#Headers],0))</f>
        <v>5512423</v>
      </c>
      <c r="H95" s="22">
        <f>INDEX(Data[],MATCH($A95,Data[Dist],0),MATCH(H$6,Data[#Headers],0))-G95</f>
        <v>0</v>
      </c>
      <c r="I95" s="25"/>
      <c r="J95" s="22">
        <f>INDEX(Notes!$I$2:$N$11,MATCH(Notes!$B$2,Notes!$I$2:$I$11,0),4)*$C95</f>
        <v>2213784</v>
      </c>
      <c r="K95" s="22">
        <f>INDEX(Notes!$I$2:$N$11,MATCH(Notes!$B$2,Notes!$I$2:$I$11,0),5)*$D95</f>
        <v>1099546</v>
      </c>
      <c r="L95" s="22">
        <f>INDEX(Notes!$I$2:$N$11,MATCH(Notes!$B$2,Notes!$I$2:$I$11,0),6)*$E95</f>
        <v>1649319</v>
      </c>
      <c r="M95" s="22">
        <f>IF(Notes!$B$2="June",'Payment Total'!$F95,0)</f>
        <v>549774</v>
      </c>
      <c r="N95" s="22">
        <f t="shared" si="7"/>
        <v>0</v>
      </c>
      <c r="P95" s="26">
        <v>17910000</v>
      </c>
      <c r="Q95" s="26">
        <v>549774</v>
      </c>
      <c r="R95" s="21" t="str">
        <f t="shared" si="8"/>
        <v>1791</v>
      </c>
      <c r="S95" s="44" t="str">
        <f t="shared" si="9"/>
        <v>1791</v>
      </c>
      <c r="T95" s="20">
        <f t="shared" si="10"/>
        <v>0</v>
      </c>
      <c r="V95" s="46" t="s">
        <v>898</v>
      </c>
      <c r="W95" s="26">
        <v>549774</v>
      </c>
      <c r="X95" s="21" t="str">
        <f t="shared" si="11"/>
        <v>1791</v>
      </c>
      <c r="Y95" s="44" t="str">
        <f t="shared" si="12"/>
        <v>1791</v>
      </c>
      <c r="Z95" s="45">
        <f t="shared" si="13"/>
        <v>0</v>
      </c>
    </row>
    <row r="96" spans="1:26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6607464</v>
      </c>
      <c r="D96" s="164">
        <f>INDEX(Data[],MATCH($A96,Data[Dist],0),MATCH(D$6,Data[#Headers],0))</f>
        <v>6563723</v>
      </c>
      <c r="E96" s="164">
        <f>INDEX(Data[],MATCH($A96,Data[Dist],0),MATCH(E$6,Data[#Headers],0))</f>
        <v>6563723</v>
      </c>
      <c r="F96" s="164">
        <f>INDEX(Data[],MATCH($A96,Data[Dist],0),MATCH(F$6,Data[#Headers],0))</f>
        <v>6563723</v>
      </c>
      <c r="G96" s="22">
        <f>INDEX(Data[],MATCH($A96,Data[Dist],0),MATCH(G$6,Data[#Headers],0))</f>
        <v>65812194</v>
      </c>
      <c r="H96" s="22">
        <f>INDEX(Data[],MATCH($A96,Data[Dist],0),MATCH(H$6,Data[#Headers],0))-G96</f>
        <v>0</v>
      </c>
      <c r="I96" s="25"/>
      <c r="J96" s="22">
        <f>INDEX(Notes!$I$2:$N$11,MATCH(Notes!$B$2,Notes!$I$2:$I$11,0),4)*$C96</f>
        <v>26429856</v>
      </c>
      <c r="K96" s="22">
        <f>INDEX(Notes!$I$2:$N$11,MATCH(Notes!$B$2,Notes!$I$2:$I$11,0),5)*$D96</f>
        <v>13127446</v>
      </c>
      <c r="L96" s="22">
        <f>INDEX(Notes!$I$2:$N$11,MATCH(Notes!$B$2,Notes!$I$2:$I$11,0),6)*$E96</f>
        <v>19691169</v>
      </c>
      <c r="M96" s="22">
        <f>IF(Notes!$B$2="June",'Payment Total'!$F96,0)</f>
        <v>6563723</v>
      </c>
      <c r="N96" s="22">
        <f t="shared" si="7"/>
        <v>0</v>
      </c>
      <c r="P96" s="26">
        <v>18630000</v>
      </c>
      <c r="Q96" s="26">
        <v>6563723</v>
      </c>
      <c r="R96" s="21" t="str">
        <f t="shared" si="8"/>
        <v>1863</v>
      </c>
      <c r="S96" s="44" t="str">
        <f t="shared" si="9"/>
        <v>1863</v>
      </c>
      <c r="T96" s="20">
        <f t="shared" si="10"/>
        <v>0</v>
      </c>
      <c r="V96" s="46" t="s">
        <v>899</v>
      </c>
      <c r="W96" s="26">
        <v>6563723</v>
      </c>
      <c r="X96" s="21" t="str">
        <f t="shared" si="11"/>
        <v>1863</v>
      </c>
      <c r="Y96" s="44" t="str">
        <f t="shared" si="12"/>
        <v>1863</v>
      </c>
      <c r="Z96" s="45">
        <f t="shared" si="13"/>
        <v>0</v>
      </c>
    </row>
    <row r="97" spans="1:26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244923</v>
      </c>
      <c r="D97" s="164">
        <f>INDEX(Data[],MATCH($A97,Data[Dist],0),MATCH(D$6,Data[#Headers],0))</f>
        <v>243177</v>
      </c>
      <c r="E97" s="164">
        <f>INDEX(Data[],MATCH($A97,Data[Dist],0),MATCH(E$6,Data[#Headers],0))</f>
        <v>243176</v>
      </c>
      <c r="F97" s="164">
        <f>INDEX(Data[],MATCH($A97,Data[Dist],0),MATCH(F$6,Data[#Headers],0))</f>
        <v>243177</v>
      </c>
      <c r="G97" s="22">
        <f>INDEX(Data[],MATCH($A97,Data[Dist],0),MATCH(G$6,Data[#Headers],0))</f>
        <v>2438751</v>
      </c>
      <c r="H97" s="22">
        <f>INDEX(Data[],MATCH($A97,Data[Dist],0),MATCH(H$6,Data[#Headers],0))-G97</f>
        <v>0</v>
      </c>
      <c r="I97" s="25"/>
      <c r="J97" s="22">
        <f>INDEX(Notes!$I$2:$N$11,MATCH(Notes!$B$2,Notes!$I$2:$I$11,0),4)*$C97</f>
        <v>979692</v>
      </c>
      <c r="K97" s="22">
        <f>INDEX(Notes!$I$2:$N$11,MATCH(Notes!$B$2,Notes!$I$2:$I$11,0),5)*$D97</f>
        <v>486354</v>
      </c>
      <c r="L97" s="22">
        <f>INDEX(Notes!$I$2:$N$11,MATCH(Notes!$B$2,Notes!$I$2:$I$11,0),6)*$E97</f>
        <v>729528</v>
      </c>
      <c r="M97" s="22">
        <f>IF(Notes!$B$2="June",'Payment Total'!$F97,0)</f>
        <v>243177</v>
      </c>
      <c r="N97" s="22">
        <f t="shared" si="7"/>
        <v>0</v>
      </c>
      <c r="P97" s="26">
        <v>19080000</v>
      </c>
      <c r="Q97" s="26">
        <v>243177</v>
      </c>
      <c r="R97" s="21" t="str">
        <f t="shared" si="8"/>
        <v>1908</v>
      </c>
      <c r="S97" s="44" t="str">
        <f t="shared" si="9"/>
        <v>1908</v>
      </c>
      <c r="T97" s="20">
        <f t="shared" si="10"/>
        <v>0</v>
      </c>
      <c r="V97" s="46" t="s">
        <v>900</v>
      </c>
      <c r="W97" s="26">
        <v>243177</v>
      </c>
      <c r="X97" s="21" t="str">
        <f t="shared" si="11"/>
        <v>1908</v>
      </c>
      <c r="Y97" s="44" t="str">
        <f t="shared" si="12"/>
        <v>1908</v>
      </c>
      <c r="Z97" s="45">
        <f t="shared" si="13"/>
        <v>0</v>
      </c>
    </row>
    <row r="98" spans="1:26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228001</v>
      </c>
      <c r="D98" s="164">
        <f>INDEX(Data[],MATCH($A98,Data[Dist],0),MATCH(D$6,Data[#Headers],0))</f>
        <v>226309</v>
      </c>
      <c r="E98" s="164">
        <f>INDEX(Data[],MATCH($A98,Data[Dist],0),MATCH(E$6,Data[#Headers],0))</f>
        <v>226309</v>
      </c>
      <c r="F98" s="164">
        <f>INDEX(Data[],MATCH($A98,Data[Dist],0),MATCH(F$6,Data[#Headers],0))</f>
        <v>226307</v>
      </c>
      <c r="G98" s="22">
        <f>INDEX(Data[],MATCH($A98,Data[Dist],0),MATCH(G$6,Data[#Headers],0))</f>
        <v>2269856</v>
      </c>
      <c r="H98" s="22">
        <f>INDEX(Data[],MATCH($A98,Data[Dist],0),MATCH(H$6,Data[#Headers],0))-G98</f>
        <v>0</v>
      </c>
      <c r="I98" s="25"/>
      <c r="J98" s="22">
        <f>INDEX(Notes!$I$2:$N$11,MATCH(Notes!$B$2,Notes!$I$2:$I$11,0),4)*$C98</f>
        <v>912004</v>
      </c>
      <c r="K98" s="22">
        <f>INDEX(Notes!$I$2:$N$11,MATCH(Notes!$B$2,Notes!$I$2:$I$11,0),5)*$D98</f>
        <v>452618</v>
      </c>
      <c r="L98" s="22">
        <f>INDEX(Notes!$I$2:$N$11,MATCH(Notes!$B$2,Notes!$I$2:$I$11,0),6)*$E98</f>
        <v>678927</v>
      </c>
      <c r="M98" s="22">
        <f>IF(Notes!$B$2="June",'Payment Total'!$F98,0)</f>
        <v>226307</v>
      </c>
      <c r="N98" s="22">
        <f t="shared" si="7"/>
        <v>0</v>
      </c>
      <c r="P98" s="26">
        <v>19170000</v>
      </c>
      <c r="Q98" s="26">
        <v>226307</v>
      </c>
      <c r="R98" s="21" t="str">
        <f t="shared" si="8"/>
        <v>1917</v>
      </c>
      <c r="S98" s="44" t="str">
        <f t="shared" si="9"/>
        <v>1917</v>
      </c>
      <c r="T98" s="20">
        <f t="shared" si="10"/>
        <v>0</v>
      </c>
      <c r="V98" s="46" t="s">
        <v>845</v>
      </c>
      <c r="W98" s="26">
        <v>226307</v>
      </c>
      <c r="X98" s="21" t="str">
        <f t="shared" si="11"/>
        <v>1917</v>
      </c>
      <c r="Y98" s="44" t="str">
        <f t="shared" si="12"/>
        <v>1917</v>
      </c>
      <c r="Z98" s="45">
        <f t="shared" si="13"/>
        <v>0</v>
      </c>
    </row>
    <row r="99" spans="1:26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317346</v>
      </c>
      <c r="D99" s="164">
        <f>INDEX(Data[],MATCH($A99,Data[Dist],0),MATCH(D$6,Data[#Headers],0))</f>
        <v>315001</v>
      </c>
      <c r="E99" s="164">
        <f>INDEX(Data[],MATCH($A99,Data[Dist],0),MATCH(E$6,Data[#Headers],0))</f>
        <v>315001</v>
      </c>
      <c r="F99" s="164">
        <f>INDEX(Data[],MATCH($A99,Data[Dist],0),MATCH(F$6,Data[#Headers],0))</f>
        <v>315001</v>
      </c>
      <c r="G99" s="22">
        <f>INDEX(Data[],MATCH($A99,Data[Dist],0),MATCH(G$6,Data[#Headers],0))</f>
        <v>3159390</v>
      </c>
      <c r="H99" s="22">
        <f>INDEX(Data[],MATCH($A99,Data[Dist],0),MATCH(H$6,Data[#Headers],0))-G99</f>
        <v>0</v>
      </c>
      <c r="I99" s="25"/>
      <c r="J99" s="22">
        <f>INDEX(Notes!$I$2:$N$11,MATCH(Notes!$B$2,Notes!$I$2:$I$11,0),4)*$C99</f>
        <v>1269384</v>
      </c>
      <c r="K99" s="22">
        <f>INDEX(Notes!$I$2:$N$11,MATCH(Notes!$B$2,Notes!$I$2:$I$11,0),5)*$D99</f>
        <v>630002</v>
      </c>
      <c r="L99" s="22">
        <f>INDEX(Notes!$I$2:$N$11,MATCH(Notes!$B$2,Notes!$I$2:$I$11,0),6)*$E99</f>
        <v>945003</v>
      </c>
      <c r="M99" s="22">
        <f>IF(Notes!$B$2="June",'Payment Total'!$F99,0)</f>
        <v>315001</v>
      </c>
      <c r="N99" s="22">
        <f t="shared" si="7"/>
        <v>0</v>
      </c>
      <c r="P99" s="26">
        <v>19260000</v>
      </c>
      <c r="Q99" s="26">
        <v>315001</v>
      </c>
      <c r="R99" s="21" t="str">
        <f t="shared" si="8"/>
        <v>1926</v>
      </c>
      <c r="S99" s="44" t="str">
        <f t="shared" si="9"/>
        <v>1926</v>
      </c>
      <c r="T99" s="20">
        <f t="shared" si="10"/>
        <v>0</v>
      </c>
      <c r="V99" s="46" t="s">
        <v>901</v>
      </c>
      <c r="W99" s="26">
        <v>315001</v>
      </c>
      <c r="X99" s="21" t="str">
        <f t="shared" si="11"/>
        <v>1926</v>
      </c>
      <c r="Y99" s="44" t="str">
        <f t="shared" si="12"/>
        <v>1926</v>
      </c>
      <c r="Z99" s="45">
        <f t="shared" si="13"/>
        <v>0</v>
      </c>
    </row>
    <row r="100" spans="1:26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618486</v>
      </c>
      <c r="D100" s="164">
        <f>INDEX(Data[],MATCH($A100,Data[Dist],0),MATCH(D$6,Data[#Headers],0))</f>
        <v>614099</v>
      </c>
      <c r="E100" s="164">
        <f>INDEX(Data[],MATCH($A100,Data[Dist],0),MATCH(E$6,Data[#Headers],0))</f>
        <v>614099</v>
      </c>
      <c r="F100" s="164">
        <f>INDEX(Data[],MATCH($A100,Data[Dist],0),MATCH(F$6,Data[#Headers],0))</f>
        <v>614098</v>
      </c>
      <c r="G100" s="22">
        <f>INDEX(Data[],MATCH($A100,Data[Dist],0),MATCH(G$6,Data[#Headers],0))</f>
        <v>6158537</v>
      </c>
      <c r="H100" s="22">
        <f>INDEX(Data[],MATCH($A100,Data[Dist],0),MATCH(H$6,Data[#Headers],0))-G100</f>
        <v>0</v>
      </c>
      <c r="I100" s="25"/>
      <c r="J100" s="22">
        <f>INDEX(Notes!$I$2:$N$11,MATCH(Notes!$B$2,Notes!$I$2:$I$11,0),4)*$C100</f>
        <v>2473944</v>
      </c>
      <c r="K100" s="22">
        <f>INDEX(Notes!$I$2:$N$11,MATCH(Notes!$B$2,Notes!$I$2:$I$11,0),5)*$D100</f>
        <v>1228198</v>
      </c>
      <c r="L100" s="22">
        <f>INDEX(Notes!$I$2:$N$11,MATCH(Notes!$B$2,Notes!$I$2:$I$11,0),6)*$E100</f>
        <v>1842297</v>
      </c>
      <c r="M100" s="22">
        <f>IF(Notes!$B$2="June",'Payment Total'!$F100,0)</f>
        <v>614098</v>
      </c>
      <c r="N100" s="22">
        <f t="shared" si="7"/>
        <v>0</v>
      </c>
      <c r="P100" s="26">
        <v>65360000</v>
      </c>
      <c r="Q100" s="26">
        <v>614098</v>
      </c>
      <c r="R100" s="21" t="str">
        <f t="shared" si="8"/>
        <v>6536</v>
      </c>
      <c r="S100" s="44" t="str">
        <f t="shared" si="9"/>
        <v>1935</v>
      </c>
      <c r="T100" s="20">
        <f t="shared" si="10"/>
        <v>0</v>
      </c>
      <c r="V100" s="46" t="s">
        <v>902</v>
      </c>
      <c r="W100" s="26">
        <v>562649</v>
      </c>
      <c r="X100" s="21" t="str">
        <f t="shared" si="11"/>
        <v>1944</v>
      </c>
      <c r="Y100" s="44" t="str">
        <f t="shared" si="12"/>
        <v>1944</v>
      </c>
      <c r="Z100" s="45">
        <f t="shared" si="13"/>
        <v>0</v>
      </c>
    </row>
    <row r="101" spans="1:26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566179</v>
      </c>
      <c r="D101" s="164">
        <f>INDEX(Data[],MATCH($A101,Data[Dist],0),MATCH(D$6,Data[#Headers],0))</f>
        <v>562651</v>
      </c>
      <c r="E101" s="164">
        <f>INDEX(Data[],MATCH($A101,Data[Dist],0),MATCH(E$6,Data[#Headers],0))</f>
        <v>562651</v>
      </c>
      <c r="F101" s="164">
        <f>INDEX(Data[],MATCH($A101,Data[Dist],0),MATCH(F$6,Data[#Headers],0))</f>
        <v>562649</v>
      </c>
      <c r="G101" s="22">
        <f>INDEX(Data[],MATCH($A101,Data[Dist],0),MATCH(G$6,Data[#Headers],0))</f>
        <v>5640620</v>
      </c>
      <c r="H101" s="22">
        <f>INDEX(Data[],MATCH($A101,Data[Dist],0),MATCH(H$6,Data[#Headers],0))-G101</f>
        <v>0</v>
      </c>
      <c r="I101" s="25"/>
      <c r="J101" s="22">
        <f>INDEX(Notes!$I$2:$N$11,MATCH(Notes!$B$2,Notes!$I$2:$I$11,0),4)*$C101</f>
        <v>2264716</v>
      </c>
      <c r="K101" s="22">
        <f>INDEX(Notes!$I$2:$N$11,MATCH(Notes!$B$2,Notes!$I$2:$I$11,0),5)*$D101</f>
        <v>1125302</v>
      </c>
      <c r="L101" s="22">
        <f>INDEX(Notes!$I$2:$N$11,MATCH(Notes!$B$2,Notes!$I$2:$I$11,0),6)*$E101</f>
        <v>1687953</v>
      </c>
      <c r="M101" s="22">
        <f>IF(Notes!$B$2="June",'Payment Total'!$F101,0)</f>
        <v>562649</v>
      </c>
      <c r="N101" s="22">
        <f t="shared" si="7"/>
        <v>0</v>
      </c>
      <c r="P101" s="26">
        <v>19440000</v>
      </c>
      <c r="Q101" s="26">
        <v>562649</v>
      </c>
      <c r="R101" s="21" t="str">
        <f t="shared" si="8"/>
        <v>1944</v>
      </c>
      <c r="S101" s="44" t="str">
        <f t="shared" si="9"/>
        <v>1944</v>
      </c>
      <c r="T101" s="20">
        <f t="shared" si="10"/>
        <v>0</v>
      </c>
      <c r="V101" s="46" t="s">
        <v>903</v>
      </c>
      <c r="W101" s="26">
        <v>337352</v>
      </c>
      <c r="X101" s="21" t="str">
        <f t="shared" si="11"/>
        <v>1953</v>
      </c>
      <c r="Y101" s="44" t="str">
        <f t="shared" si="12"/>
        <v>1953</v>
      </c>
      <c r="Z101" s="45">
        <f t="shared" si="13"/>
        <v>0</v>
      </c>
    </row>
    <row r="102" spans="1:26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339745</v>
      </c>
      <c r="D102" s="164">
        <f>INDEX(Data[],MATCH($A102,Data[Dist],0),MATCH(D$6,Data[#Headers],0))</f>
        <v>337352</v>
      </c>
      <c r="E102" s="164">
        <f>INDEX(Data[],MATCH($A102,Data[Dist],0),MATCH(E$6,Data[#Headers],0))</f>
        <v>337351</v>
      </c>
      <c r="F102" s="164">
        <f>INDEX(Data[],MATCH($A102,Data[Dist],0),MATCH(F$6,Data[#Headers],0))</f>
        <v>337352</v>
      </c>
      <c r="G102" s="22">
        <f>INDEX(Data[],MATCH($A102,Data[Dist],0),MATCH(G$6,Data[#Headers],0))</f>
        <v>3383089</v>
      </c>
      <c r="H102" s="22">
        <f>INDEX(Data[],MATCH($A102,Data[Dist],0),MATCH(H$6,Data[#Headers],0))-G102</f>
        <v>0</v>
      </c>
      <c r="I102" s="25"/>
      <c r="J102" s="22">
        <f>INDEX(Notes!$I$2:$N$11,MATCH(Notes!$B$2,Notes!$I$2:$I$11,0),4)*$C102</f>
        <v>1358980</v>
      </c>
      <c r="K102" s="22">
        <f>INDEX(Notes!$I$2:$N$11,MATCH(Notes!$B$2,Notes!$I$2:$I$11,0),5)*$D102</f>
        <v>674704</v>
      </c>
      <c r="L102" s="22">
        <f>INDEX(Notes!$I$2:$N$11,MATCH(Notes!$B$2,Notes!$I$2:$I$11,0),6)*$E102</f>
        <v>1012053</v>
      </c>
      <c r="M102" s="22">
        <f>IF(Notes!$B$2="June",'Payment Total'!$F102,0)</f>
        <v>337352</v>
      </c>
      <c r="N102" s="22">
        <f t="shared" si="7"/>
        <v>0</v>
      </c>
      <c r="P102" s="26">
        <v>19530000</v>
      </c>
      <c r="Q102" s="26">
        <v>337352</v>
      </c>
      <c r="R102" s="21" t="str">
        <f t="shared" si="8"/>
        <v>1953</v>
      </c>
      <c r="S102" s="44" t="str">
        <f t="shared" si="9"/>
        <v>1953</v>
      </c>
      <c r="T102" s="20">
        <f t="shared" si="10"/>
        <v>0</v>
      </c>
      <c r="V102" s="46" t="s">
        <v>904</v>
      </c>
      <c r="W102" s="26">
        <v>353039</v>
      </c>
      <c r="X102" s="21" t="str">
        <f t="shared" si="11"/>
        <v>1963</v>
      </c>
      <c r="Y102" s="44" t="str">
        <f t="shared" si="12"/>
        <v>1963</v>
      </c>
      <c r="Z102" s="45">
        <f t="shared" si="13"/>
        <v>0</v>
      </c>
    </row>
    <row r="103" spans="1:26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355405</v>
      </c>
      <c r="D103" s="164">
        <f>INDEX(Data[],MATCH($A103,Data[Dist],0),MATCH(D$6,Data[#Headers],0))</f>
        <v>353041</v>
      </c>
      <c r="E103" s="164">
        <f>INDEX(Data[],MATCH($A103,Data[Dist],0),MATCH(E$6,Data[#Headers],0))</f>
        <v>353041</v>
      </c>
      <c r="F103" s="164">
        <f>INDEX(Data[],MATCH($A103,Data[Dist],0),MATCH(F$6,Data[#Headers],0))</f>
        <v>353039</v>
      </c>
      <c r="G103" s="22">
        <f>INDEX(Data[],MATCH($A103,Data[Dist],0),MATCH(G$6,Data[#Headers],0))</f>
        <v>3539864</v>
      </c>
      <c r="H103" s="22">
        <f>INDEX(Data[],MATCH($A103,Data[Dist],0),MATCH(H$6,Data[#Headers],0))-G103</f>
        <v>0</v>
      </c>
      <c r="I103" s="25"/>
      <c r="J103" s="22">
        <f>INDEX(Notes!$I$2:$N$11,MATCH(Notes!$B$2,Notes!$I$2:$I$11,0),4)*$C103</f>
        <v>1421620</v>
      </c>
      <c r="K103" s="22">
        <f>INDEX(Notes!$I$2:$N$11,MATCH(Notes!$B$2,Notes!$I$2:$I$11,0),5)*$D103</f>
        <v>706082</v>
      </c>
      <c r="L103" s="22">
        <f>INDEX(Notes!$I$2:$N$11,MATCH(Notes!$B$2,Notes!$I$2:$I$11,0),6)*$E103</f>
        <v>1059123</v>
      </c>
      <c r="M103" s="22">
        <f>IF(Notes!$B$2="June",'Payment Total'!$F103,0)</f>
        <v>353039</v>
      </c>
      <c r="N103" s="22">
        <f t="shared" si="7"/>
        <v>0</v>
      </c>
      <c r="P103" s="26">
        <v>19630000</v>
      </c>
      <c r="Q103" s="26">
        <v>353039</v>
      </c>
      <c r="R103" s="21" t="str">
        <f t="shared" si="8"/>
        <v>1963</v>
      </c>
      <c r="S103" s="44" t="str">
        <f t="shared" si="9"/>
        <v>1963</v>
      </c>
      <c r="T103" s="20">
        <f t="shared" si="10"/>
        <v>0</v>
      </c>
      <c r="V103" s="46" t="s">
        <v>910</v>
      </c>
      <c r="W103" s="26">
        <v>357229</v>
      </c>
      <c r="X103" s="21" t="str">
        <f t="shared" si="11"/>
        <v>1965</v>
      </c>
      <c r="Y103" s="44" t="str">
        <f t="shared" si="12"/>
        <v>1965</v>
      </c>
      <c r="Z103" s="45">
        <f t="shared" si="13"/>
        <v>0</v>
      </c>
    </row>
    <row r="104" spans="1:26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359742</v>
      </c>
      <c r="D104" s="164">
        <f>INDEX(Data[],MATCH($A104,Data[Dist],0),MATCH(D$6,Data[#Headers],0))</f>
        <v>357231</v>
      </c>
      <c r="E104" s="164">
        <f>INDEX(Data[],MATCH($A104,Data[Dist],0),MATCH(E$6,Data[#Headers],0))</f>
        <v>357231</v>
      </c>
      <c r="F104" s="164">
        <f>INDEX(Data[],MATCH($A104,Data[Dist],0),MATCH(F$6,Data[#Headers],0))</f>
        <v>357229</v>
      </c>
      <c r="G104" s="22">
        <f>INDEX(Data[],MATCH($A104,Data[Dist],0),MATCH(G$6,Data[#Headers],0))</f>
        <v>3582352</v>
      </c>
      <c r="H104" s="22">
        <f>INDEX(Data[],MATCH($A104,Data[Dist],0),MATCH(H$6,Data[#Headers],0))-G104</f>
        <v>0</v>
      </c>
      <c r="I104" s="25"/>
      <c r="J104" s="22">
        <f>INDEX(Notes!$I$2:$N$11,MATCH(Notes!$B$2,Notes!$I$2:$I$11,0),4)*$C104</f>
        <v>1438968</v>
      </c>
      <c r="K104" s="22">
        <f>INDEX(Notes!$I$2:$N$11,MATCH(Notes!$B$2,Notes!$I$2:$I$11,0),5)*$D104</f>
        <v>714462</v>
      </c>
      <c r="L104" s="22">
        <f>INDEX(Notes!$I$2:$N$11,MATCH(Notes!$B$2,Notes!$I$2:$I$11,0),6)*$E104</f>
        <v>1071693</v>
      </c>
      <c r="M104" s="22">
        <f>IF(Notes!$B$2="June",'Payment Total'!$F104,0)</f>
        <v>357229</v>
      </c>
      <c r="N104" s="22">
        <f t="shared" si="7"/>
        <v>0</v>
      </c>
      <c r="P104" s="26">
        <v>19650000</v>
      </c>
      <c r="Q104" s="26">
        <v>357229</v>
      </c>
      <c r="R104" s="21" t="str">
        <f t="shared" si="8"/>
        <v>1965</v>
      </c>
      <c r="S104" s="44" t="str">
        <f t="shared" si="9"/>
        <v>1965</v>
      </c>
      <c r="T104" s="20">
        <f t="shared" si="10"/>
        <v>0</v>
      </c>
      <c r="V104" s="46" t="s">
        <v>905</v>
      </c>
      <c r="W104" s="26">
        <v>306833</v>
      </c>
      <c r="X104" s="21" t="str">
        <f t="shared" si="11"/>
        <v>1968</v>
      </c>
      <c r="Y104" s="44" t="str">
        <f t="shared" si="12"/>
        <v>3582</v>
      </c>
      <c r="Z104" s="45">
        <f t="shared" si="13"/>
        <v>0</v>
      </c>
    </row>
    <row r="105" spans="1:26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312690</v>
      </c>
      <c r="D105" s="164">
        <f>INDEX(Data[],MATCH($A105,Data[Dist],0),MATCH(D$6,Data[#Headers],0))</f>
        <v>310643</v>
      </c>
      <c r="E105" s="164">
        <f>INDEX(Data[],MATCH($A105,Data[Dist],0),MATCH(E$6,Data[#Headers],0))</f>
        <v>310643</v>
      </c>
      <c r="F105" s="164">
        <f>INDEX(Data[],MATCH($A105,Data[Dist],0),MATCH(F$6,Data[#Headers],0))</f>
        <v>310642</v>
      </c>
      <c r="G105" s="22">
        <f>INDEX(Data[],MATCH($A105,Data[Dist],0),MATCH(G$6,Data[#Headers],0))</f>
        <v>3114617</v>
      </c>
      <c r="H105" s="22">
        <f>INDEX(Data[],MATCH($A105,Data[Dist],0),MATCH(H$6,Data[#Headers],0))-G105</f>
        <v>0</v>
      </c>
      <c r="I105" s="25"/>
      <c r="J105" s="22">
        <f>INDEX(Notes!$I$2:$N$11,MATCH(Notes!$B$2,Notes!$I$2:$I$11,0),4)*$C105</f>
        <v>1250760</v>
      </c>
      <c r="K105" s="22">
        <f>INDEX(Notes!$I$2:$N$11,MATCH(Notes!$B$2,Notes!$I$2:$I$11,0),5)*$D105</f>
        <v>621286</v>
      </c>
      <c r="L105" s="22">
        <f>INDEX(Notes!$I$2:$N$11,MATCH(Notes!$B$2,Notes!$I$2:$I$11,0),6)*$E105</f>
        <v>931929</v>
      </c>
      <c r="M105" s="22">
        <f>IF(Notes!$B$2="June",'Payment Total'!$F105,0)</f>
        <v>310642</v>
      </c>
      <c r="N105" s="22">
        <f t="shared" si="7"/>
        <v>0</v>
      </c>
      <c r="P105" s="26">
        <v>19700000</v>
      </c>
      <c r="Q105" s="26">
        <v>310642</v>
      </c>
      <c r="R105" s="21" t="str">
        <f t="shared" si="8"/>
        <v>1970</v>
      </c>
      <c r="S105" s="44" t="str">
        <f t="shared" si="9"/>
        <v>1970</v>
      </c>
      <c r="T105" s="20">
        <f t="shared" si="10"/>
        <v>0</v>
      </c>
      <c r="V105" s="46" t="s">
        <v>908</v>
      </c>
      <c r="W105" s="26">
        <v>310642</v>
      </c>
      <c r="X105" s="21" t="str">
        <f t="shared" si="11"/>
        <v>1970</v>
      </c>
      <c r="Y105" s="44" t="str">
        <f t="shared" si="12"/>
        <v>1970</v>
      </c>
      <c r="Z105" s="45">
        <f t="shared" si="13"/>
        <v>0</v>
      </c>
    </row>
    <row r="106" spans="1:26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146611</v>
      </c>
      <c r="D106" s="164">
        <f>INDEX(Data[],MATCH($A106,Data[Dist],0),MATCH(D$6,Data[#Headers],0))</f>
        <v>145257</v>
      </c>
      <c r="E106" s="164">
        <f>INDEX(Data[],MATCH($A106,Data[Dist],0),MATCH(E$6,Data[#Headers],0))</f>
        <v>145257</v>
      </c>
      <c r="F106" s="164">
        <f>INDEX(Data[],MATCH($A106,Data[Dist],0),MATCH(F$6,Data[#Headers],0))</f>
        <v>145257</v>
      </c>
      <c r="G106" s="22">
        <f>INDEX(Data[],MATCH($A106,Data[Dist],0),MATCH(G$6,Data[#Headers],0))</f>
        <v>1457986</v>
      </c>
      <c r="H106" s="22">
        <f>INDEX(Data[],MATCH($A106,Data[Dist],0),MATCH(H$6,Data[#Headers],0))-G106</f>
        <v>0</v>
      </c>
      <c r="I106" s="25"/>
      <c r="J106" s="22">
        <f>INDEX(Notes!$I$2:$N$11,MATCH(Notes!$B$2,Notes!$I$2:$I$11,0),4)*$C106</f>
        <v>586444</v>
      </c>
      <c r="K106" s="22">
        <f>INDEX(Notes!$I$2:$N$11,MATCH(Notes!$B$2,Notes!$I$2:$I$11,0),5)*$D106</f>
        <v>290514</v>
      </c>
      <c r="L106" s="22">
        <f>INDEX(Notes!$I$2:$N$11,MATCH(Notes!$B$2,Notes!$I$2:$I$11,0),6)*$E106</f>
        <v>435771</v>
      </c>
      <c r="M106" s="22">
        <f>IF(Notes!$B$2="June",'Payment Total'!$F106,0)</f>
        <v>145257</v>
      </c>
      <c r="N106" s="22">
        <f t="shared" si="7"/>
        <v>0</v>
      </c>
      <c r="P106" s="26">
        <v>19720000</v>
      </c>
      <c r="Q106" s="26">
        <v>145257</v>
      </c>
      <c r="R106" s="21" t="str">
        <f t="shared" si="8"/>
        <v>1972</v>
      </c>
      <c r="S106" s="44" t="str">
        <f t="shared" si="9"/>
        <v>1972</v>
      </c>
      <c r="T106" s="20">
        <f t="shared" si="10"/>
        <v>0</v>
      </c>
      <c r="V106" s="46" t="s">
        <v>909</v>
      </c>
      <c r="W106" s="26">
        <v>145257</v>
      </c>
      <c r="X106" s="21" t="str">
        <f t="shared" si="11"/>
        <v>1972</v>
      </c>
      <c r="Y106" s="44" t="str">
        <f t="shared" si="12"/>
        <v>1972</v>
      </c>
      <c r="Z106" s="45">
        <f t="shared" si="13"/>
        <v>0</v>
      </c>
    </row>
    <row r="107" spans="1:26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218340</v>
      </c>
      <c r="D107" s="164">
        <f>INDEX(Data[],MATCH($A107,Data[Dist],0),MATCH(D$6,Data[#Headers],0))</f>
        <v>216581</v>
      </c>
      <c r="E107" s="164">
        <f>INDEX(Data[],MATCH($A107,Data[Dist],0),MATCH(E$6,Data[#Headers],0))</f>
        <v>216582</v>
      </c>
      <c r="F107" s="164">
        <f>INDEX(Data[],MATCH($A107,Data[Dist],0),MATCH(F$6,Data[#Headers],0))</f>
        <v>216580</v>
      </c>
      <c r="G107" s="22">
        <f>INDEX(Data[],MATCH($A107,Data[Dist],0),MATCH(G$6,Data[#Headers],0))</f>
        <v>2172848</v>
      </c>
      <c r="H107" s="22">
        <f>INDEX(Data[],MATCH($A107,Data[Dist],0),MATCH(H$6,Data[#Headers],0))-G107</f>
        <v>0</v>
      </c>
      <c r="I107" s="25"/>
      <c r="J107" s="22">
        <f>INDEX(Notes!$I$2:$N$11,MATCH(Notes!$B$2,Notes!$I$2:$I$11,0),4)*$C107</f>
        <v>873360</v>
      </c>
      <c r="K107" s="22">
        <f>INDEX(Notes!$I$2:$N$11,MATCH(Notes!$B$2,Notes!$I$2:$I$11,0),5)*$D107</f>
        <v>433162</v>
      </c>
      <c r="L107" s="22">
        <f>INDEX(Notes!$I$2:$N$11,MATCH(Notes!$B$2,Notes!$I$2:$I$11,0),6)*$E107</f>
        <v>649746</v>
      </c>
      <c r="M107" s="22">
        <f>IF(Notes!$B$2="June",'Payment Total'!$F107,0)</f>
        <v>216580</v>
      </c>
      <c r="N107" s="22">
        <f t="shared" si="7"/>
        <v>0</v>
      </c>
      <c r="P107" s="26">
        <v>19750000</v>
      </c>
      <c r="Q107" s="26">
        <v>216580</v>
      </c>
      <c r="R107" s="21" t="str">
        <f t="shared" si="8"/>
        <v>1975</v>
      </c>
      <c r="S107" s="44" t="str">
        <f t="shared" si="9"/>
        <v>1975</v>
      </c>
      <c r="T107" s="20">
        <f t="shared" si="10"/>
        <v>0</v>
      </c>
      <c r="V107" s="46" t="s">
        <v>1054</v>
      </c>
      <c r="W107" s="26">
        <v>216580</v>
      </c>
      <c r="X107" s="21" t="str">
        <f t="shared" si="11"/>
        <v>1975</v>
      </c>
      <c r="Y107" s="44" t="str">
        <f t="shared" si="12"/>
        <v>1975</v>
      </c>
      <c r="Z107" s="45">
        <f t="shared" si="13"/>
        <v>0</v>
      </c>
    </row>
    <row r="108" spans="1:26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238138</v>
      </c>
      <c r="D108" s="164">
        <f>INDEX(Data[],MATCH($A108,Data[Dist],0),MATCH(D$6,Data[#Headers],0))</f>
        <v>236415</v>
      </c>
      <c r="E108" s="164">
        <f>INDEX(Data[],MATCH($A108,Data[Dist],0),MATCH(E$6,Data[#Headers],0))</f>
        <v>236415</v>
      </c>
      <c r="F108" s="164">
        <f>INDEX(Data[],MATCH($A108,Data[Dist],0),MATCH(F$6,Data[#Headers],0))</f>
        <v>236416</v>
      </c>
      <c r="G108" s="22">
        <f>INDEX(Data[],MATCH($A108,Data[Dist],0),MATCH(G$6,Data[#Headers],0))</f>
        <v>2371043</v>
      </c>
      <c r="H108" s="22">
        <f>INDEX(Data[],MATCH($A108,Data[Dist],0),MATCH(H$6,Data[#Headers],0))-G108</f>
        <v>0</v>
      </c>
      <c r="I108" s="25"/>
      <c r="J108" s="22">
        <f>INDEX(Notes!$I$2:$N$11,MATCH(Notes!$B$2,Notes!$I$2:$I$11,0),4)*$C108</f>
        <v>952552</v>
      </c>
      <c r="K108" s="22">
        <f>INDEX(Notes!$I$2:$N$11,MATCH(Notes!$B$2,Notes!$I$2:$I$11,0),5)*$D108</f>
        <v>472830</v>
      </c>
      <c r="L108" s="22">
        <f>INDEX(Notes!$I$2:$N$11,MATCH(Notes!$B$2,Notes!$I$2:$I$11,0),6)*$E108</f>
        <v>709245</v>
      </c>
      <c r="M108" s="22">
        <f>IF(Notes!$B$2="June",'Payment Total'!$F108,0)</f>
        <v>236416</v>
      </c>
      <c r="N108" s="22">
        <f t="shared" si="7"/>
        <v>0</v>
      </c>
      <c r="P108" s="26">
        <v>19890000</v>
      </c>
      <c r="Q108" s="26">
        <v>236416</v>
      </c>
      <c r="R108" s="21" t="str">
        <f t="shared" si="8"/>
        <v>1989</v>
      </c>
      <c r="S108" s="44" t="str">
        <f t="shared" si="9"/>
        <v>1989</v>
      </c>
      <c r="T108" s="20">
        <f t="shared" si="10"/>
        <v>0</v>
      </c>
      <c r="V108" s="46" t="s">
        <v>912</v>
      </c>
      <c r="W108" s="26">
        <v>236416</v>
      </c>
      <c r="X108" s="21" t="str">
        <f t="shared" si="11"/>
        <v>1989</v>
      </c>
      <c r="Y108" s="44" t="str">
        <f t="shared" si="12"/>
        <v>1989</v>
      </c>
      <c r="Z108" s="45">
        <f t="shared" si="13"/>
        <v>0</v>
      </c>
    </row>
    <row r="109" spans="1:26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421271</v>
      </c>
      <c r="D109" s="164">
        <f>INDEX(Data[],MATCH($A109,Data[Dist],0),MATCH(D$6,Data[#Headers],0))</f>
        <v>418671</v>
      </c>
      <c r="E109" s="164">
        <f>INDEX(Data[],MATCH($A109,Data[Dist],0),MATCH(E$6,Data[#Headers],0))</f>
        <v>418671</v>
      </c>
      <c r="F109" s="164">
        <f>INDEX(Data[],MATCH($A109,Data[Dist],0),MATCH(F$6,Data[#Headers],0))</f>
        <v>418672</v>
      </c>
      <c r="G109" s="22">
        <f>INDEX(Data[],MATCH($A109,Data[Dist],0),MATCH(G$6,Data[#Headers],0))</f>
        <v>4197111</v>
      </c>
      <c r="H109" s="22">
        <f>INDEX(Data[],MATCH($A109,Data[Dist],0),MATCH(H$6,Data[#Headers],0))-G109</f>
        <v>0</v>
      </c>
      <c r="I109" s="25"/>
      <c r="J109" s="22">
        <f>INDEX(Notes!$I$2:$N$11,MATCH(Notes!$B$2,Notes!$I$2:$I$11,0),4)*$C109</f>
        <v>1685084</v>
      </c>
      <c r="K109" s="22">
        <f>INDEX(Notes!$I$2:$N$11,MATCH(Notes!$B$2,Notes!$I$2:$I$11,0),5)*$D109</f>
        <v>837342</v>
      </c>
      <c r="L109" s="22">
        <f>INDEX(Notes!$I$2:$N$11,MATCH(Notes!$B$2,Notes!$I$2:$I$11,0),6)*$E109</f>
        <v>1256013</v>
      </c>
      <c r="M109" s="22">
        <f>IF(Notes!$B$2="June",'Payment Total'!$F109,0)</f>
        <v>418672</v>
      </c>
      <c r="N109" s="22">
        <f t="shared" si="7"/>
        <v>0</v>
      </c>
      <c r="P109" s="26">
        <v>20070000</v>
      </c>
      <c r="Q109" s="26">
        <v>418672</v>
      </c>
      <c r="R109" s="21" t="str">
        <f t="shared" si="8"/>
        <v>2007</v>
      </c>
      <c r="S109" s="44" t="str">
        <f t="shared" si="9"/>
        <v>2007</v>
      </c>
      <c r="T109" s="20">
        <f t="shared" si="10"/>
        <v>0</v>
      </c>
      <c r="V109" s="46" t="s">
        <v>913</v>
      </c>
      <c r="W109" s="26">
        <v>418672</v>
      </c>
      <c r="X109" s="21" t="str">
        <f t="shared" si="11"/>
        <v>2007</v>
      </c>
      <c r="Y109" s="44" t="str">
        <f t="shared" si="12"/>
        <v>2007</v>
      </c>
      <c r="Z109" s="45">
        <f t="shared" si="13"/>
        <v>0</v>
      </c>
    </row>
    <row r="110" spans="1:26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359804</v>
      </c>
      <c r="D110" s="164">
        <f>INDEX(Data[],MATCH($A110,Data[Dist],0),MATCH(D$6,Data[#Headers],0))</f>
        <v>356894</v>
      </c>
      <c r="E110" s="164">
        <f>INDEX(Data[],MATCH($A110,Data[Dist],0),MATCH(E$6,Data[#Headers],0))</f>
        <v>356894</v>
      </c>
      <c r="F110" s="164">
        <f>INDEX(Data[],MATCH($A110,Data[Dist],0),MATCH(F$6,Data[#Headers],0))</f>
        <v>356893</v>
      </c>
      <c r="G110" s="22">
        <f>INDEX(Data[],MATCH($A110,Data[Dist],0),MATCH(G$6,Data[#Headers],0))</f>
        <v>3580579</v>
      </c>
      <c r="H110" s="22">
        <f>INDEX(Data[],MATCH($A110,Data[Dist],0),MATCH(H$6,Data[#Headers],0))-G110</f>
        <v>0</v>
      </c>
      <c r="I110" s="25"/>
      <c r="J110" s="22">
        <f>INDEX(Notes!$I$2:$N$11,MATCH(Notes!$B$2,Notes!$I$2:$I$11,0),4)*$C110</f>
        <v>1439216</v>
      </c>
      <c r="K110" s="22">
        <f>INDEX(Notes!$I$2:$N$11,MATCH(Notes!$B$2,Notes!$I$2:$I$11,0),5)*$D110</f>
        <v>713788</v>
      </c>
      <c r="L110" s="22">
        <f>INDEX(Notes!$I$2:$N$11,MATCH(Notes!$B$2,Notes!$I$2:$I$11,0),6)*$E110</f>
        <v>1070682</v>
      </c>
      <c r="M110" s="22">
        <f>IF(Notes!$B$2="June",'Payment Total'!$F110,0)</f>
        <v>356893</v>
      </c>
      <c r="N110" s="22">
        <f t="shared" si="7"/>
        <v>0</v>
      </c>
      <c r="P110" s="26">
        <v>20880000</v>
      </c>
      <c r="Q110" s="26">
        <v>356893</v>
      </c>
      <c r="R110" s="21" t="str">
        <f t="shared" si="8"/>
        <v>2088</v>
      </c>
      <c r="S110" s="44" t="str">
        <f t="shared" si="9"/>
        <v>2088</v>
      </c>
      <c r="T110" s="20">
        <f t="shared" si="10"/>
        <v>0</v>
      </c>
      <c r="V110" s="46" t="s">
        <v>914</v>
      </c>
      <c r="W110" s="26">
        <v>356893</v>
      </c>
      <c r="X110" s="21" t="str">
        <f t="shared" si="11"/>
        <v>2088</v>
      </c>
      <c r="Y110" s="44" t="str">
        <f t="shared" si="12"/>
        <v>2088</v>
      </c>
      <c r="Z110" s="45">
        <f t="shared" si="13"/>
        <v>0</v>
      </c>
    </row>
    <row r="111" spans="1:26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260644</v>
      </c>
      <c r="D111" s="164">
        <f>INDEX(Data[],MATCH($A111,Data[Dist],0),MATCH(D$6,Data[#Headers],0))</f>
        <v>258761</v>
      </c>
      <c r="E111" s="164">
        <f>INDEX(Data[],MATCH($A111,Data[Dist],0),MATCH(E$6,Data[#Headers],0))</f>
        <v>258762</v>
      </c>
      <c r="F111" s="164">
        <f>INDEX(Data[],MATCH($A111,Data[Dist],0),MATCH(F$6,Data[#Headers],0))</f>
        <v>258760</v>
      </c>
      <c r="G111" s="22">
        <f>INDEX(Data[],MATCH($A111,Data[Dist],0),MATCH(G$6,Data[#Headers],0))</f>
        <v>2595144</v>
      </c>
      <c r="H111" s="22">
        <f>INDEX(Data[],MATCH($A111,Data[Dist],0),MATCH(H$6,Data[#Headers],0))-G111</f>
        <v>0</v>
      </c>
      <c r="I111" s="25"/>
      <c r="J111" s="22">
        <f>INDEX(Notes!$I$2:$N$11,MATCH(Notes!$B$2,Notes!$I$2:$I$11,0),4)*$C111</f>
        <v>1042576</v>
      </c>
      <c r="K111" s="22">
        <f>INDEX(Notes!$I$2:$N$11,MATCH(Notes!$B$2,Notes!$I$2:$I$11,0),5)*$D111</f>
        <v>517522</v>
      </c>
      <c r="L111" s="22">
        <f>INDEX(Notes!$I$2:$N$11,MATCH(Notes!$B$2,Notes!$I$2:$I$11,0),6)*$E111</f>
        <v>776286</v>
      </c>
      <c r="M111" s="22">
        <f>IF(Notes!$B$2="June",'Payment Total'!$F111,0)</f>
        <v>258760</v>
      </c>
      <c r="N111" s="22">
        <f t="shared" si="7"/>
        <v>0</v>
      </c>
      <c r="P111" s="26">
        <v>20970000</v>
      </c>
      <c r="Q111" s="26">
        <v>258760</v>
      </c>
      <c r="R111" s="21" t="str">
        <f t="shared" si="8"/>
        <v>2097</v>
      </c>
      <c r="S111" s="44" t="str">
        <f t="shared" si="9"/>
        <v>2097</v>
      </c>
      <c r="T111" s="20">
        <f t="shared" si="10"/>
        <v>0</v>
      </c>
      <c r="V111" s="46" t="s">
        <v>915</v>
      </c>
      <c r="W111" s="26">
        <v>258760</v>
      </c>
      <c r="X111" s="21" t="str">
        <f t="shared" si="11"/>
        <v>2097</v>
      </c>
      <c r="Y111" s="44" t="str">
        <f t="shared" si="12"/>
        <v>2097</v>
      </c>
      <c r="Z111" s="45">
        <f t="shared" si="13"/>
        <v>0</v>
      </c>
    </row>
    <row r="112" spans="1:26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115807</v>
      </c>
      <c r="D112" s="164">
        <f>INDEX(Data[],MATCH($A112,Data[Dist],0),MATCH(D$6,Data[#Headers],0))</f>
        <v>115000</v>
      </c>
      <c r="E112" s="164">
        <f>INDEX(Data[],MATCH($A112,Data[Dist],0),MATCH(E$6,Data[#Headers],0))</f>
        <v>115000</v>
      </c>
      <c r="F112" s="164">
        <f>INDEX(Data[],MATCH($A112,Data[Dist],0),MATCH(F$6,Data[#Headers],0))</f>
        <v>114999</v>
      </c>
      <c r="G112" s="22">
        <f>INDEX(Data[],MATCH($A112,Data[Dist],0),MATCH(G$6,Data[#Headers],0))</f>
        <v>1153227</v>
      </c>
      <c r="H112" s="22">
        <f>INDEX(Data[],MATCH($A112,Data[Dist],0),MATCH(H$6,Data[#Headers],0))-G112</f>
        <v>0</v>
      </c>
      <c r="I112" s="25"/>
      <c r="J112" s="22">
        <f>INDEX(Notes!$I$2:$N$11,MATCH(Notes!$B$2,Notes!$I$2:$I$11,0),4)*$C112</f>
        <v>463228</v>
      </c>
      <c r="K112" s="22">
        <f>INDEX(Notes!$I$2:$N$11,MATCH(Notes!$B$2,Notes!$I$2:$I$11,0),5)*$D112</f>
        <v>230000</v>
      </c>
      <c r="L112" s="22">
        <f>INDEX(Notes!$I$2:$N$11,MATCH(Notes!$B$2,Notes!$I$2:$I$11,0),6)*$E112</f>
        <v>345000</v>
      </c>
      <c r="M112" s="22">
        <f>IF(Notes!$B$2="June",'Payment Total'!$F112,0)</f>
        <v>114999</v>
      </c>
      <c r="N112" s="22">
        <f t="shared" si="7"/>
        <v>0</v>
      </c>
      <c r="P112" s="26">
        <v>21130000</v>
      </c>
      <c r="Q112" s="26">
        <v>114999</v>
      </c>
      <c r="R112" s="21" t="str">
        <f t="shared" si="8"/>
        <v>2113</v>
      </c>
      <c r="S112" s="44" t="str">
        <f t="shared" si="9"/>
        <v>2113</v>
      </c>
      <c r="T112" s="20">
        <f t="shared" si="10"/>
        <v>0</v>
      </c>
      <c r="V112" s="46" t="s">
        <v>916</v>
      </c>
      <c r="W112" s="26">
        <v>114999</v>
      </c>
      <c r="X112" s="21" t="str">
        <f t="shared" si="11"/>
        <v>2113</v>
      </c>
      <c r="Y112" s="44" t="str">
        <f t="shared" si="12"/>
        <v>2113</v>
      </c>
      <c r="Z112" s="45">
        <f t="shared" si="13"/>
        <v>0</v>
      </c>
    </row>
    <row r="113" spans="1:26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835175</v>
      </c>
      <c r="D113" s="164">
        <f>INDEX(Data[],MATCH($A113,Data[Dist],0),MATCH(D$6,Data[#Headers],0))</f>
        <v>829665</v>
      </c>
      <c r="E113" s="164">
        <f>INDEX(Data[],MATCH($A113,Data[Dist],0),MATCH(E$6,Data[#Headers],0))</f>
        <v>829665</v>
      </c>
      <c r="F113" s="164">
        <f>INDEX(Data[],MATCH($A113,Data[Dist],0),MATCH(F$6,Data[#Headers],0))</f>
        <v>829665</v>
      </c>
      <c r="G113" s="22">
        <f>INDEX(Data[],MATCH($A113,Data[Dist],0),MATCH(G$6,Data[#Headers],0))</f>
        <v>8318690</v>
      </c>
      <c r="H113" s="22">
        <f>INDEX(Data[],MATCH($A113,Data[Dist],0),MATCH(H$6,Data[#Headers],0))-G113</f>
        <v>0</v>
      </c>
      <c r="I113" s="25"/>
      <c r="J113" s="22">
        <f>INDEX(Notes!$I$2:$N$11,MATCH(Notes!$B$2,Notes!$I$2:$I$11,0),4)*$C113</f>
        <v>3340700</v>
      </c>
      <c r="K113" s="22">
        <f>INDEX(Notes!$I$2:$N$11,MATCH(Notes!$B$2,Notes!$I$2:$I$11,0),5)*$D113</f>
        <v>1659330</v>
      </c>
      <c r="L113" s="22">
        <f>INDEX(Notes!$I$2:$N$11,MATCH(Notes!$B$2,Notes!$I$2:$I$11,0),6)*$E113</f>
        <v>2488995</v>
      </c>
      <c r="M113" s="22">
        <f>IF(Notes!$B$2="June",'Payment Total'!$F113,0)</f>
        <v>829665</v>
      </c>
      <c r="N113" s="22">
        <f t="shared" si="7"/>
        <v>0</v>
      </c>
      <c r="P113" s="26">
        <v>21240000</v>
      </c>
      <c r="Q113" s="26">
        <v>829665</v>
      </c>
      <c r="R113" s="21" t="str">
        <f t="shared" si="8"/>
        <v>2124</v>
      </c>
      <c r="S113" s="44" t="str">
        <f t="shared" si="9"/>
        <v>2124</v>
      </c>
      <c r="T113" s="20">
        <f t="shared" si="10"/>
        <v>0</v>
      </c>
      <c r="V113" s="46" t="s">
        <v>917</v>
      </c>
      <c r="W113" s="26">
        <v>829665</v>
      </c>
      <c r="X113" s="21" t="str">
        <f t="shared" si="11"/>
        <v>2124</v>
      </c>
      <c r="Y113" s="44" t="str">
        <f t="shared" si="12"/>
        <v>2124</v>
      </c>
      <c r="Z113" s="45">
        <f t="shared" si="13"/>
        <v>0</v>
      </c>
    </row>
    <row r="114" spans="1:26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232676</v>
      </c>
      <c r="D114" s="164">
        <f>INDEX(Data[],MATCH($A114,Data[Dist],0),MATCH(D$6,Data[#Headers],0))</f>
        <v>230953</v>
      </c>
      <c r="E114" s="164">
        <f>INDEX(Data[],MATCH($A114,Data[Dist],0),MATCH(E$6,Data[#Headers],0))</f>
        <v>230953</v>
      </c>
      <c r="F114" s="164">
        <f>INDEX(Data[],MATCH($A114,Data[Dist],0),MATCH(F$6,Data[#Headers],0))</f>
        <v>230951</v>
      </c>
      <c r="G114" s="22">
        <f>INDEX(Data[],MATCH($A114,Data[Dist],0),MATCH(G$6,Data[#Headers],0))</f>
        <v>2316420</v>
      </c>
      <c r="H114" s="22">
        <f>INDEX(Data[],MATCH($A114,Data[Dist],0),MATCH(H$6,Data[#Headers],0))-G114</f>
        <v>0</v>
      </c>
      <c r="I114" s="25"/>
      <c r="J114" s="22">
        <f>INDEX(Notes!$I$2:$N$11,MATCH(Notes!$B$2,Notes!$I$2:$I$11,0),4)*$C114</f>
        <v>930704</v>
      </c>
      <c r="K114" s="22">
        <f>INDEX(Notes!$I$2:$N$11,MATCH(Notes!$B$2,Notes!$I$2:$I$11,0),5)*$D114</f>
        <v>461906</v>
      </c>
      <c r="L114" s="22">
        <f>INDEX(Notes!$I$2:$N$11,MATCH(Notes!$B$2,Notes!$I$2:$I$11,0),6)*$E114</f>
        <v>692859</v>
      </c>
      <c r="M114" s="22">
        <f>IF(Notes!$B$2="June",'Payment Total'!$F114,0)</f>
        <v>230951</v>
      </c>
      <c r="N114" s="22">
        <f t="shared" si="7"/>
        <v>0</v>
      </c>
      <c r="P114" s="26">
        <v>21510000</v>
      </c>
      <c r="Q114" s="26">
        <v>230951</v>
      </c>
      <c r="R114" s="21" t="str">
        <f t="shared" si="8"/>
        <v>2151</v>
      </c>
      <c r="S114" s="44" t="str">
        <f t="shared" si="9"/>
        <v>2151</v>
      </c>
      <c r="T114" s="20">
        <f t="shared" si="10"/>
        <v>0</v>
      </c>
      <c r="V114" s="46" t="s">
        <v>918</v>
      </c>
      <c r="W114" s="26">
        <v>230951</v>
      </c>
      <c r="X114" s="21" t="str">
        <f t="shared" si="11"/>
        <v>2151</v>
      </c>
      <c r="Y114" s="44" t="str">
        <f t="shared" si="12"/>
        <v>2151</v>
      </c>
      <c r="Z114" s="45">
        <f t="shared" si="13"/>
        <v>0</v>
      </c>
    </row>
    <row r="115" spans="1:26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890595</v>
      </c>
      <c r="D115" s="164">
        <f>INDEX(Data[],MATCH($A115,Data[Dist],0),MATCH(D$6,Data[#Headers],0))</f>
        <v>883970</v>
      </c>
      <c r="E115" s="164">
        <f>INDEX(Data[],MATCH($A115,Data[Dist],0),MATCH(E$6,Data[#Headers],0))</f>
        <v>883970</v>
      </c>
      <c r="F115" s="164">
        <f>INDEX(Data[],MATCH($A115,Data[Dist],0),MATCH(F$6,Data[#Headers],0))</f>
        <v>883969</v>
      </c>
      <c r="G115" s="22">
        <f>INDEX(Data[],MATCH($A115,Data[Dist],0),MATCH(G$6,Data[#Headers],0))</f>
        <v>8866199</v>
      </c>
      <c r="H115" s="22">
        <f>INDEX(Data[],MATCH($A115,Data[Dist],0),MATCH(H$6,Data[#Headers],0))-G115</f>
        <v>0</v>
      </c>
      <c r="I115" s="25"/>
      <c r="J115" s="22">
        <f>INDEX(Notes!$I$2:$N$11,MATCH(Notes!$B$2,Notes!$I$2:$I$11,0),4)*$C115</f>
        <v>3562380</v>
      </c>
      <c r="K115" s="22">
        <f>INDEX(Notes!$I$2:$N$11,MATCH(Notes!$B$2,Notes!$I$2:$I$11,0),5)*$D115</f>
        <v>1767940</v>
      </c>
      <c r="L115" s="22">
        <f>INDEX(Notes!$I$2:$N$11,MATCH(Notes!$B$2,Notes!$I$2:$I$11,0),6)*$E115</f>
        <v>2651910</v>
      </c>
      <c r="M115" s="22">
        <f>IF(Notes!$B$2="June",'Payment Total'!$F115,0)</f>
        <v>883969</v>
      </c>
      <c r="N115" s="22">
        <f t="shared" si="7"/>
        <v>0</v>
      </c>
      <c r="P115" s="26">
        <v>21690000</v>
      </c>
      <c r="Q115" s="26">
        <v>883969</v>
      </c>
      <c r="R115" s="21" t="str">
        <f t="shared" si="8"/>
        <v>2169</v>
      </c>
      <c r="S115" s="44" t="str">
        <f t="shared" si="9"/>
        <v>2169</v>
      </c>
      <c r="T115" s="20">
        <f t="shared" si="10"/>
        <v>0</v>
      </c>
      <c r="V115" s="46" t="s">
        <v>919</v>
      </c>
      <c r="W115" s="26">
        <v>883969</v>
      </c>
      <c r="X115" s="21" t="str">
        <f t="shared" si="11"/>
        <v>2169</v>
      </c>
      <c r="Y115" s="44" t="str">
        <f t="shared" si="12"/>
        <v>2169</v>
      </c>
      <c r="Z115" s="45">
        <f t="shared" si="13"/>
        <v>0</v>
      </c>
    </row>
    <row r="116" spans="1:26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642213</v>
      </c>
      <c r="D116" s="164">
        <f>INDEX(Data[],MATCH($A116,Data[Dist],0),MATCH(D$6,Data[#Headers],0))</f>
        <v>637665</v>
      </c>
      <c r="E116" s="164">
        <f>INDEX(Data[],MATCH($A116,Data[Dist],0),MATCH(E$6,Data[#Headers],0))</f>
        <v>637666</v>
      </c>
      <c r="F116" s="164">
        <f>INDEX(Data[],MATCH($A116,Data[Dist],0),MATCH(F$6,Data[#Headers],0))</f>
        <v>637664</v>
      </c>
      <c r="G116" s="22">
        <f>INDEX(Data[],MATCH($A116,Data[Dist],0),MATCH(G$6,Data[#Headers],0))</f>
        <v>6394844</v>
      </c>
      <c r="H116" s="22">
        <f>INDEX(Data[],MATCH($A116,Data[Dist],0),MATCH(H$6,Data[#Headers],0))-G116</f>
        <v>0</v>
      </c>
      <c r="I116" s="25"/>
      <c r="J116" s="22">
        <f>INDEX(Notes!$I$2:$N$11,MATCH(Notes!$B$2,Notes!$I$2:$I$11,0),4)*$C116</f>
        <v>2568852</v>
      </c>
      <c r="K116" s="22">
        <f>INDEX(Notes!$I$2:$N$11,MATCH(Notes!$B$2,Notes!$I$2:$I$11,0),5)*$D116</f>
        <v>1275330</v>
      </c>
      <c r="L116" s="22">
        <f>INDEX(Notes!$I$2:$N$11,MATCH(Notes!$B$2,Notes!$I$2:$I$11,0),6)*$E116</f>
        <v>1912998</v>
      </c>
      <c r="M116" s="22">
        <f>IF(Notes!$B$2="June",'Payment Total'!$F116,0)</f>
        <v>637664</v>
      </c>
      <c r="N116" s="22">
        <f t="shared" si="7"/>
        <v>0</v>
      </c>
      <c r="P116" s="26">
        <v>22950000</v>
      </c>
      <c r="Q116" s="26">
        <v>637664</v>
      </c>
      <c r="R116" s="21" t="str">
        <f t="shared" si="8"/>
        <v>2295</v>
      </c>
      <c r="S116" s="44" t="str">
        <f t="shared" si="9"/>
        <v>2295</v>
      </c>
      <c r="T116" s="20">
        <f t="shared" si="10"/>
        <v>0</v>
      </c>
      <c r="V116" s="46" t="s">
        <v>920</v>
      </c>
      <c r="W116" s="26">
        <v>637664</v>
      </c>
      <c r="X116" s="21" t="str">
        <f t="shared" si="11"/>
        <v>2295</v>
      </c>
      <c r="Y116" s="44" t="str">
        <f t="shared" si="12"/>
        <v>2295</v>
      </c>
      <c r="Z116" s="45">
        <f t="shared" si="13"/>
        <v>0</v>
      </c>
    </row>
    <row r="117" spans="1:26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2633133</v>
      </c>
      <c r="D117" s="164">
        <f>INDEX(Data[],MATCH($A117,Data[Dist],0),MATCH(D$6,Data[#Headers],0))</f>
        <v>2617312</v>
      </c>
      <c r="E117" s="164">
        <f>INDEX(Data[],MATCH($A117,Data[Dist],0),MATCH(E$6,Data[#Headers],0))</f>
        <v>2502560</v>
      </c>
      <c r="F117" s="164">
        <f>INDEX(Data[],MATCH($A117,Data[Dist],0),MATCH(F$6,Data[#Headers],0))</f>
        <v>2502558</v>
      </c>
      <c r="G117" s="22">
        <f>INDEX(Data[],MATCH($A117,Data[Dist],0),MATCH(G$6,Data[#Headers],0))</f>
        <v>25777394</v>
      </c>
      <c r="H117" s="22">
        <f>INDEX(Data[],MATCH($A117,Data[Dist],0),MATCH(H$6,Data[#Headers],0))-G117</f>
        <v>0</v>
      </c>
      <c r="I117" s="25"/>
      <c r="J117" s="22">
        <f>INDEX(Notes!$I$2:$N$11,MATCH(Notes!$B$2,Notes!$I$2:$I$11,0),4)*$C117</f>
        <v>10532532</v>
      </c>
      <c r="K117" s="22">
        <f>INDEX(Notes!$I$2:$N$11,MATCH(Notes!$B$2,Notes!$I$2:$I$11,0),5)*$D117</f>
        <v>5234624</v>
      </c>
      <c r="L117" s="22">
        <f>INDEX(Notes!$I$2:$N$11,MATCH(Notes!$B$2,Notes!$I$2:$I$11,0),6)*$E117</f>
        <v>7507680</v>
      </c>
      <c r="M117" s="22">
        <f>IF(Notes!$B$2="June",'Payment Total'!$F117,0)</f>
        <v>2502558</v>
      </c>
      <c r="N117" s="22">
        <f t="shared" si="7"/>
        <v>0</v>
      </c>
      <c r="P117" s="26">
        <v>23130000</v>
      </c>
      <c r="Q117" s="26">
        <v>2502558</v>
      </c>
      <c r="R117" s="21" t="str">
        <f t="shared" si="8"/>
        <v>2313</v>
      </c>
      <c r="S117" s="44" t="str">
        <f t="shared" si="9"/>
        <v>2313</v>
      </c>
      <c r="T117" s="20">
        <f t="shared" si="10"/>
        <v>0</v>
      </c>
      <c r="V117" s="46" t="s">
        <v>921</v>
      </c>
      <c r="W117" s="26">
        <v>2502558</v>
      </c>
      <c r="X117" s="21" t="str">
        <f t="shared" si="11"/>
        <v>2313</v>
      </c>
      <c r="Y117" s="44" t="str">
        <f t="shared" si="12"/>
        <v>2313</v>
      </c>
      <c r="Z117" s="45">
        <f t="shared" si="13"/>
        <v>0</v>
      </c>
    </row>
    <row r="118" spans="1:26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1334977</v>
      </c>
      <c r="D118" s="164">
        <f>INDEX(Data[],MATCH($A118,Data[Dist],0),MATCH(D$6,Data[#Headers],0))</f>
        <v>1326053</v>
      </c>
      <c r="E118" s="164">
        <f>INDEX(Data[],MATCH($A118,Data[Dist],0),MATCH(E$6,Data[#Headers],0))</f>
        <v>1326053</v>
      </c>
      <c r="F118" s="164">
        <f>INDEX(Data[],MATCH($A118,Data[Dist],0),MATCH(F$6,Data[#Headers],0))</f>
        <v>1326052</v>
      </c>
      <c r="G118" s="22">
        <f>INDEX(Data[],MATCH($A118,Data[Dist],0),MATCH(G$6,Data[#Headers],0))</f>
        <v>13296225</v>
      </c>
      <c r="H118" s="22">
        <f>INDEX(Data[],MATCH($A118,Data[Dist],0),MATCH(H$6,Data[#Headers],0))-G118</f>
        <v>0</v>
      </c>
      <c r="I118" s="25"/>
      <c r="J118" s="22">
        <f>INDEX(Notes!$I$2:$N$11,MATCH(Notes!$B$2,Notes!$I$2:$I$11,0),4)*$C118</f>
        <v>5339908</v>
      </c>
      <c r="K118" s="22">
        <f>INDEX(Notes!$I$2:$N$11,MATCH(Notes!$B$2,Notes!$I$2:$I$11,0),5)*$D118</f>
        <v>2652106</v>
      </c>
      <c r="L118" s="22">
        <f>INDEX(Notes!$I$2:$N$11,MATCH(Notes!$B$2,Notes!$I$2:$I$11,0),6)*$E118</f>
        <v>3978159</v>
      </c>
      <c r="M118" s="22">
        <f>IF(Notes!$B$2="June",'Payment Total'!$F118,0)</f>
        <v>1326052</v>
      </c>
      <c r="N118" s="22">
        <f t="shared" si="7"/>
        <v>0</v>
      </c>
      <c r="P118" s="26">
        <v>23220000</v>
      </c>
      <c r="Q118" s="26">
        <v>1326052</v>
      </c>
      <c r="R118" s="21" t="str">
        <f t="shared" si="8"/>
        <v>2322</v>
      </c>
      <c r="S118" s="44" t="str">
        <f t="shared" si="9"/>
        <v>2322</v>
      </c>
      <c r="T118" s="20">
        <f t="shared" si="10"/>
        <v>0</v>
      </c>
      <c r="V118" s="46" t="s">
        <v>922</v>
      </c>
      <c r="W118" s="26">
        <v>1326052</v>
      </c>
      <c r="X118" s="21" t="str">
        <f t="shared" si="11"/>
        <v>2322</v>
      </c>
      <c r="Y118" s="44" t="str">
        <f t="shared" si="12"/>
        <v>2322</v>
      </c>
      <c r="Z118" s="45">
        <f t="shared" si="13"/>
        <v>0</v>
      </c>
    </row>
    <row r="119" spans="1:26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264324</v>
      </c>
      <c r="D119" s="164">
        <f>INDEX(Data[],MATCH($A119,Data[Dist],0),MATCH(D$6,Data[#Headers],0))</f>
        <v>262442</v>
      </c>
      <c r="E119" s="164">
        <f>INDEX(Data[],MATCH($A119,Data[Dist],0),MATCH(E$6,Data[#Headers],0))</f>
        <v>262441</v>
      </c>
      <c r="F119" s="164">
        <f>INDEX(Data[],MATCH($A119,Data[Dist],0),MATCH(F$6,Data[#Headers],0))</f>
        <v>262442</v>
      </c>
      <c r="G119" s="22">
        <f>INDEX(Data[],MATCH($A119,Data[Dist],0),MATCH(G$6,Data[#Headers],0))</f>
        <v>2631945</v>
      </c>
      <c r="H119" s="22">
        <f>INDEX(Data[],MATCH($A119,Data[Dist],0),MATCH(H$6,Data[#Headers],0))-G119</f>
        <v>0</v>
      </c>
      <c r="I119" s="25"/>
      <c r="J119" s="22">
        <f>INDEX(Notes!$I$2:$N$11,MATCH(Notes!$B$2,Notes!$I$2:$I$11,0),4)*$C119</f>
        <v>1057296</v>
      </c>
      <c r="K119" s="22">
        <f>INDEX(Notes!$I$2:$N$11,MATCH(Notes!$B$2,Notes!$I$2:$I$11,0),5)*$D119</f>
        <v>524884</v>
      </c>
      <c r="L119" s="22">
        <f>INDEX(Notes!$I$2:$N$11,MATCH(Notes!$B$2,Notes!$I$2:$I$11,0),6)*$E119</f>
        <v>787323</v>
      </c>
      <c r="M119" s="22">
        <f>IF(Notes!$B$2="June",'Payment Total'!$F119,0)</f>
        <v>262442</v>
      </c>
      <c r="N119" s="22">
        <f t="shared" si="7"/>
        <v>0</v>
      </c>
      <c r="P119" s="26">
        <v>23690000</v>
      </c>
      <c r="Q119" s="26">
        <v>262442</v>
      </c>
      <c r="R119" s="21" t="str">
        <f t="shared" si="8"/>
        <v>2369</v>
      </c>
      <c r="S119" s="44" t="str">
        <f t="shared" si="9"/>
        <v>2369</v>
      </c>
      <c r="T119" s="20">
        <f t="shared" si="10"/>
        <v>0</v>
      </c>
      <c r="V119" s="46" t="s">
        <v>923</v>
      </c>
      <c r="W119" s="26">
        <v>262442</v>
      </c>
      <c r="X119" s="21" t="str">
        <f t="shared" si="11"/>
        <v>2369</v>
      </c>
      <c r="Y119" s="44" t="str">
        <f t="shared" si="12"/>
        <v>2369</v>
      </c>
      <c r="Z119" s="45">
        <f t="shared" si="13"/>
        <v>0</v>
      </c>
    </row>
    <row r="120" spans="1:26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219206</v>
      </c>
      <c r="D120" s="164">
        <f>INDEX(Data[],MATCH($A120,Data[Dist],0),MATCH(D$6,Data[#Headers],0))</f>
        <v>217357</v>
      </c>
      <c r="E120" s="164">
        <f>INDEX(Data[],MATCH($A120,Data[Dist],0),MATCH(E$6,Data[#Headers],0))</f>
        <v>217358</v>
      </c>
      <c r="F120" s="164">
        <f>INDEX(Data[],MATCH($A120,Data[Dist],0),MATCH(F$6,Data[#Headers],0))</f>
        <v>217356</v>
      </c>
      <c r="G120" s="22">
        <f>INDEX(Data[],MATCH($A120,Data[Dist],0),MATCH(G$6,Data[#Headers],0))</f>
        <v>2180968</v>
      </c>
      <c r="H120" s="22">
        <f>INDEX(Data[],MATCH($A120,Data[Dist],0),MATCH(H$6,Data[#Headers],0))-G120</f>
        <v>0</v>
      </c>
      <c r="I120" s="25"/>
      <c r="J120" s="22">
        <f>INDEX(Notes!$I$2:$N$11,MATCH(Notes!$B$2,Notes!$I$2:$I$11,0),4)*$C120</f>
        <v>876824</v>
      </c>
      <c r="K120" s="22">
        <f>INDEX(Notes!$I$2:$N$11,MATCH(Notes!$B$2,Notes!$I$2:$I$11,0),5)*$D120</f>
        <v>434714</v>
      </c>
      <c r="L120" s="22">
        <f>INDEX(Notes!$I$2:$N$11,MATCH(Notes!$B$2,Notes!$I$2:$I$11,0),6)*$E120</f>
        <v>652074</v>
      </c>
      <c r="M120" s="22">
        <f>IF(Notes!$B$2="June",'Payment Total'!$F120,0)</f>
        <v>217356</v>
      </c>
      <c r="N120" s="22">
        <f t="shared" si="7"/>
        <v>0</v>
      </c>
      <c r="P120" s="26">
        <v>23760000</v>
      </c>
      <c r="Q120" s="26">
        <v>217356</v>
      </c>
      <c r="R120" s="21" t="str">
        <f t="shared" si="8"/>
        <v>2376</v>
      </c>
      <c r="S120" s="44" t="str">
        <f t="shared" si="9"/>
        <v>2376</v>
      </c>
      <c r="T120" s="20">
        <f t="shared" si="10"/>
        <v>0</v>
      </c>
      <c r="V120" s="46" t="s">
        <v>924</v>
      </c>
      <c r="W120" s="26">
        <v>217356</v>
      </c>
      <c r="X120" s="21" t="str">
        <f t="shared" si="11"/>
        <v>2376</v>
      </c>
      <c r="Y120" s="44" t="str">
        <f t="shared" si="12"/>
        <v>2376</v>
      </c>
      <c r="Z120" s="45">
        <f t="shared" si="13"/>
        <v>0</v>
      </c>
    </row>
    <row r="121" spans="1:26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395246</v>
      </c>
      <c r="D121" s="164">
        <f>INDEX(Data[],MATCH($A121,Data[Dist],0),MATCH(D$6,Data[#Headers],0))</f>
        <v>391574</v>
      </c>
      <c r="E121" s="164">
        <f>INDEX(Data[],MATCH($A121,Data[Dist],0),MATCH(E$6,Data[#Headers],0))</f>
        <v>391574</v>
      </c>
      <c r="F121" s="164">
        <f>INDEX(Data[],MATCH($A121,Data[Dist],0),MATCH(F$6,Data[#Headers],0))</f>
        <v>391573</v>
      </c>
      <c r="G121" s="22">
        <f>INDEX(Data[],MATCH($A121,Data[Dist],0),MATCH(G$6,Data[#Headers],0))</f>
        <v>3930427</v>
      </c>
      <c r="H121" s="22">
        <f>INDEX(Data[],MATCH($A121,Data[Dist],0),MATCH(H$6,Data[#Headers],0))-G121</f>
        <v>0</v>
      </c>
      <c r="I121" s="25"/>
      <c r="J121" s="22">
        <f>INDEX(Notes!$I$2:$N$11,MATCH(Notes!$B$2,Notes!$I$2:$I$11,0),4)*$C121</f>
        <v>1580984</v>
      </c>
      <c r="K121" s="22">
        <f>INDEX(Notes!$I$2:$N$11,MATCH(Notes!$B$2,Notes!$I$2:$I$11,0),5)*$D121</f>
        <v>783148</v>
      </c>
      <c r="L121" s="22">
        <f>INDEX(Notes!$I$2:$N$11,MATCH(Notes!$B$2,Notes!$I$2:$I$11,0),6)*$E121</f>
        <v>1174722</v>
      </c>
      <c r="M121" s="22">
        <f>IF(Notes!$B$2="June",'Payment Total'!$F121,0)</f>
        <v>391573</v>
      </c>
      <c r="N121" s="22">
        <f t="shared" si="7"/>
        <v>0</v>
      </c>
      <c r="P121" s="26">
        <v>24030000</v>
      </c>
      <c r="Q121" s="26">
        <v>391573</v>
      </c>
      <c r="R121" s="21" t="str">
        <f t="shared" si="8"/>
        <v>2403</v>
      </c>
      <c r="S121" s="44" t="str">
        <f t="shared" si="9"/>
        <v>2403</v>
      </c>
      <c r="T121" s="20">
        <f t="shared" si="10"/>
        <v>0</v>
      </c>
      <c r="V121" s="46" t="s">
        <v>925</v>
      </c>
      <c r="W121" s="26">
        <v>391573</v>
      </c>
      <c r="X121" s="21" t="str">
        <f t="shared" si="11"/>
        <v>2403</v>
      </c>
      <c r="Y121" s="44" t="str">
        <f t="shared" si="12"/>
        <v>2403</v>
      </c>
      <c r="Z121" s="45">
        <f t="shared" si="13"/>
        <v>0</v>
      </c>
    </row>
    <row r="122" spans="1:26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205312</v>
      </c>
      <c r="D122" s="164">
        <f>INDEX(Data[],MATCH($A122,Data[Dist],0),MATCH(D$6,Data[#Headers],0))</f>
        <v>203538</v>
      </c>
      <c r="E122" s="164">
        <f>INDEX(Data[],MATCH($A122,Data[Dist],0),MATCH(E$6,Data[#Headers],0))</f>
        <v>203538</v>
      </c>
      <c r="F122" s="164">
        <f>INDEX(Data[],MATCH($A122,Data[Dist],0),MATCH(F$6,Data[#Headers],0))</f>
        <v>203537</v>
      </c>
      <c r="G122" s="22">
        <f>INDEX(Data[],MATCH($A122,Data[Dist],0),MATCH(G$6,Data[#Headers],0))</f>
        <v>2042475</v>
      </c>
      <c r="H122" s="22">
        <f>INDEX(Data[],MATCH($A122,Data[Dist],0),MATCH(H$6,Data[#Headers],0))-G122</f>
        <v>0</v>
      </c>
      <c r="I122" s="25"/>
      <c r="J122" s="22">
        <f>INDEX(Notes!$I$2:$N$11,MATCH(Notes!$B$2,Notes!$I$2:$I$11,0),4)*$C122</f>
        <v>821248</v>
      </c>
      <c r="K122" s="22">
        <f>INDEX(Notes!$I$2:$N$11,MATCH(Notes!$B$2,Notes!$I$2:$I$11,0),5)*$D122</f>
        <v>407076</v>
      </c>
      <c r="L122" s="22">
        <f>INDEX(Notes!$I$2:$N$11,MATCH(Notes!$B$2,Notes!$I$2:$I$11,0),6)*$E122</f>
        <v>610614</v>
      </c>
      <c r="M122" s="22">
        <f>IF(Notes!$B$2="June",'Payment Total'!$F122,0)</f>
        <v>203537</v>
      </c>
      <c r="N122" s="22">
        <f t="shared" si="7"/>
        <v>0</v>
      </c>
      <c r="P122" s="26">
        <v>24570000</v>
      </c>
      <c r="Q122" s="26">
        <v>203537</v>
      </c>
      <c r="R122" s="21" t="str">
        <f t="shared" si="8"/>
        <v>2457</v>
      </c>
      <c r="S122" s="44" t="str">
        <f t="shared" si="9"/>
        <v>2457</v>
      </c>
      <c r="T122" s="20">
        <f t="shared" si="10"/>
        <v>0</v>
      </c>
      <c r="V122" s="46" t="s">
        <v>926</v>
      </c>
      <c r="W122" s="26">
        <v>203537</v>
      </c>
      <c r="X122" s="21" t="str">
        <f t="shared" si="11"/>
        <v>2457</v>
      </c>
      <c r="Y122" s="44" t="str">
        <f t="shared" si="12"/>
        <v>2457</v>
      </c>
      <c r="Z122" s="45">
        <f t="shared" si="13"/>
        <v>0</v>
      </c>
    </row>
    <row r="123" spans="1:26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814814</v>
      </c>
      <c r="D123" s="164">
        <f>INDEX(Data[],MATCH($A123,Data[Dist],0),MATCH(D$6,Data[#Headers],0))</f>
        <v>808608</v>
      </c>
      <c r="E123" s="164">
        <f>INDEX(Data[],MATCH($A123,Data[Dist],0),MATCH(E$6,Data[#Headers],0))</f>
        <v>808608</v>
      </c>
      <c r="F123" s="164">
        <f>INDEX(Data[],MATCH($A123,Data[Dist],0),MATCH(F$6,Data[#Headers],0))</f>
        <v>808609</v>
      </c>
      <c r="G123" s="22">
        <f>INDEX(Data[],MATCH($A123,Data[Dist],0),MATCH(G$6,Data[#Headers],0))</f>
        <v>8110905</v>
      </c>
      <c r="H123" s="22">
        <f>INDEX(Data[],MATCH($A123,Data[Dist],0),MATCH(H$6,Data[#Headers],0))-G123</f>
        <v>0</v>
      </c>
      <c r="I123" s="25"/>
      <c r="J123" s="22">
        <f>INDEX(Notes!$I$2:$N$11,MATCH(Notes!$B$2,Notes!$I$2:$I$11,0),4)*$C123</f>
        <v>3259256</v>
      </c>
      <c r="K123" s="22">
        <f>INDEX(Notes!$I$2:$N$11,MATCH(Notes!$B$2,Notes!$I$2:$I$11,0),5)*$D123</f>
        <v>1617216</v>
      </c>
      <c r="L123" s="22">
        <f>INDEX(Notes!$I$2:$N$11,MATCH(Notes!$B$2,Notes!$I$2:$I$11,0),6)*$E123</f>
        <v>2425824</v>
      </c>
      <c r="M123" s="22">
        <f>IF(Notes!$B$2="June",'Payment Total'!$F123,0)</f>
        <v>808609</v>
      </c>
      <c r="N123" s="22">
        <f t="shared" si="7"/>
        <v>0</v>
      </c>
      <c r="P123" s="26">
        <v>24660000</v>
      </c>
      <c r="Q123" s="26">
        <v>808609</v>
      </c>
      <c r="R123" s="21" t="str">
        <f t="shared" si="8"/>
        <v>2466</v>
      </c>
      <c r="S123" s="44" t="str">
        <f t="shared" si="9"/>
        <v>2466</v>
      </c>
      <c r="T123" s="20">
        <f t="shared" si="10"/>
        <v>0</v>
      </c>
      <c r="V123" s="46" t="s">
        <v>927</v>
      </c>
      <c r="W123" s="26">
        <v>808609</v>
      </c>
      <c r="X123" s="21" t="str">
        <f t="shared" si="11"/>
        <v>2466</v>
      </c>
      <c r="Y123" s="44" t="str">
        <f t="shared" si="12"/>
        <v>2466</v>
      </c>
      <c r="Z123" s="45">
        <f t="shared" si="13"/>
        <v>0</v>
      </c>
    </row>
    <row r="124" spans="1:26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75460</v>
      </c>
      <c r="D124" s="164">
        <f>INDEX(Data[],MATCH($A124,Data[Dist],0),MATCH(D$6,Data[#Headers],0))</f>
        <v>74852</v>
      </c>
      <c r="E124" s="164">
        <f>INDEX(Data[],MATCH($A124,Data[Dist],0),MATCH(E$6,Data[#Headers],0))</f>
        <v>74852</v>
      </c>
      <c r="F124" s="164">
        <f>INDEX(Data[],MATCH($A124,Data[Dist],0),MATCH(F$6,Data[#Headers],0))</f>
        <v>74853</v>
      </c>
      <c r="G124" s="22">
        <f>INDEX(Data[],MATCH($A124,Data[Dist],0),MATCH(G$6,Data[#Headers],0))</f>
        <v>750953</v>
      </c>
      <c r="H124" s="22">
        <f>INDEX(Data[],MATCH($A124,Data[Dist],0),MATCH(H$6,Data[#Headers],0))-G124</f>
        <v>0</v>
      </c>
      <c r="I124" s="25"/>
      <c r="J124" s="22">
        <f>INDEX(Notes!$I$2:$N$11,MATCH(Notes!$B$2,Notes!$I$2:$I$11,0),4)*$C124</f>
        <v>301840</v>
      </c>
      <c r="K124" s="22">
        <f>INDEX(Notes!$I$2:$N$11,MATCH(Notes!$B$2,Notes!$I$2:$I$11,0),5)*$D124</f>
        <v>149704</v>
      </c>
      <c r="L124" s="22">
        <f>INDEX(Notes!$I$2:$N$11,MATCH(Notes!$B$2,Notes!$I$2:$I$11,0),6)*$E124</f>
        <v>224556</v>
      </c>
      <c r="M124" s="22">
        <f>IF(Notes!$B$2="June",'Payment Total'!$F124,0)</f>
        <v>74853</v>
      </c>
      <c r="N124" s="22">
        <f t="shared" si="7"/>
        <v>0</v>
      </c>
      <c r="P124" s="26">
        <v>24930000</v>
      </c>
      <c r="Q124" s="26">
        <v>74853</v>
      </c>
      <c r="R124" s="21" t="str">
        <f t="shared" si="8"/>
        <v>2493</v>
      </c>
      <c r="S124" s="44" t="str">
        <f t="shared" si="9"/>
        <v>2493</v>
      </c>
      <c r="T124" s="20">
        <f t="shared" si="10"/>
        <v>0</v>
      </c>
      <c r="V124" s="46" t="s">
        <v>928</v>
      </c>
      <c r="W124" s="26">
        <v>74853</v>
      </c>
      <c r="X124" s="21" t="str">
        <f t="shared" si="11"/>
        <v>2493</v>
      </c>
      <c r="Y124" s="44" t="str">
        <f t="shared" si="12"/>
        <v>2493</v>
      </c>
      <c r="Z124" s="45">
        <f t="shared" si="13"/>
        <v>0</v>
      </c>
    </row>
    <row r="125" spans="1:26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325490</v>
      </c>
      <c r="D125" s="164">
        <f>INDEX(Data[],MATCH($A125,Data[Dist],0),MATCH(D$6,Data[#Headers],0))</f>
        <v>323055</v>
      </c>
      <c r="E125" s="164">
        <f>INDEX(Data[],MATCH($A125,Data[Dist],0),MATCH(E$6,Data[#Headers],0))</f>
        <v>323056</v>
      </c>
      <c r="F125" s="164">
        <f>INDEX(Data[],MATCH($A125,Data[Dist],0),MATCH(F$6,Data[#Headers],0))</f>
        <v>323054</v>
      </c>
      <c r="G125" s="22">
        <f>INDEX(Data[],MATCH($A125,Data[Dist],0),MATCH(G$6,Data[#Headers],0))</f>
        <v>3240292</v>
      </c>
      <c r="H125" s="22">
        <f>INDEX(Data[],MATCH($A125,Data[Dist],0),MATCH(H$6,Data[#Headers],0))-G125</f>
        <v>0</v>
      </c>
      <c r="I125" s="25"/>
      <c r="J125" s="22">
        <f>INDEX(Notes!$I$2:$N$11,MATCH(Notes!$B$2,Notes!$I$2:$I$11,0),4)*$C125</f>
        <v>1301960</v>
      </c>
      <c r="K125" s="22">
        <f>INDEX(Notes!$I$2:$N$11,MATCH(Notes!$B$2,Notes!$I$2:$I$11,0),5)*$D125</f>
        <v>646110</v>
      </c>
      <c r="L125" s="22">
        <f>INDEX(Notes!$I$2:$N$11,MATCH(Notes!$B$2,Notes!$I$2:$I$11,0),6)*$E125</f>
        <v>969168</v>
      </c>
      <c r="M125" s="22">
        <f>IF(Notes!$B$2="June",'Payment Total'!$F125,0)</f>
        <v>323054</v>
      </c>
      <c r="N125" s="22">
        <f t="shared" si="7"/>
        <v>0</v>
      </c>
      <c r="P125" s="26">
        <v>25020000</v>
      </c>
      <c r="Q125" s="26">
        <v>323054</v>
      </c>
      <c r="R125" s="21" t="str">
        <f t="shared" si="8"/>
        <v>2502</v>
      </c>
      <c r="S125" s="44" t="str">
        <f t="shared" si="9"/>
        <v>2502</v>
      </c>
      <c r="T125" s="20">
        <f t="shared" si="10"/>
        <v>0</v>
      </c>
      <c r="V125" s="46" t="s">
        <v>929</v>
      </c>
      <c r="W125" s="26">
        <v>323054</v>
      </c>
      <c r="X125" s="21" t="str">
        <f t="shared" si="11"/>
        <v>2502</v>
      </c>
      <c r="Y125" s="44" t="str">
        <f t="shared" si="12"/>
        <v>2502</v>
      </c>
      <c r="Z125" s="45">
        <f t="shared" si="13"/>
        <v>0</v>
      </c>
    </row>
    <row r="126" spans="1:26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1197258</v>
      </c>
      <c r="D126" s="164">
        <f>INDEX(Data[],MATCH($A126,Data[Dist],0),MATCH(D$6,Data[#Headers],0))</f>
        <v>1189020</v>
      </c>
      <c r="E126" s="164">
        <f>INDEX(Data[],MATCH($A126,Data[Dist],0),MATCH(E$6,Data[#Headers],0))</f>
        <v>1189019</v>
      </c>
      <c r="F126" s="164">
        <f>INDEX(Data[],MATCH($A126,Data[Dist],0),MATCH(F$6,Data[#Headers],0))</f>
        <v>1189020</v>
      </c>
      <c r="G126" s="22">
        <f>INDEX(Data[],MATCH($A126,Data[Dist],0),MATCH(G$6,Data[#Headers],0))</f>
        <v>11923149</v>
      </c>
      <c r="H126" s="22">
        <f>INDEX(Data[],MATCH($A126,Data[Dist],0),MATCH(H$6,Data[#Headers],0))-G126</f>
        <v>0</v>
      </c>
      <c r="I126" s="25"/>
      <c r="J126" s="22">
        <f>INDEX(Notes!$I$2:$N$11,MATCH(Notes!$B$2,Notes!$I$2:$I$11,0),4)*$C126</f>
        <v>4789032</v>
      </c>
      <c r="K126" s="22">
        <f>INDEX(Notes!$I$2:$N$11,MATCH(Notes!$B$2,Notes!$I$2:$I$11,0),5)*$D126</f>
        <v>2378040</v>
      </c>
      <c r="L126" s="22">
        <f>INDEX(Notes!$I$2:$N$11,MATCH(Notes!$B$2,Notes!$I$2:$I$11,0),6)*$E126</f>
        <v>3567057</v>
      </c>
      <c r="M126" s="22">
        <f>IF(Notes!$B$2="June",'Payment Total'!$F126,0)</f>
        <v>1189020</v>
      </c>
      <c r="N126" s="22">
        <f t="shared" si="7"/>
        <v>0</v>
      </c>
      <c r="P126" s="26">
        <v>25110000</v>
      </c>
      <c r="Q126" s="26">
        <v>1189020</v>
      </c>
      <c r="R126" s="21" t="str">
        <f t="shared" si="8"/>
        <v>2511</v>
      </c>
      <c r="S126" s="44" t="str">
        <f t="shared" si="9"/>
        <v>2511</v>
      </c>
      <c r="T126" s="20">
        <f t="shared" si="10"/>
        <v>0</v>
      </c>
      <c r="V126" s="46" t="s">
        <v>930</v>
      </c>
      <c r="W126" s="26">
        <v>1189020</v>
      </c>
      <c r="X126" s="21" t="str">
        <f t="shared" si="11"/>
        <v>2511</v>
      </c>
      <c r="Y126" s="44" t="str">
        <f t="shared" si="12"/>
        <v>2511</v>
      </c>
      <c r="Z126" s="45">
        <f t="shared" si="13"/>
        <v>0</v>
      </c>
    </row>
    <row r="127" spans="1:26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146733</v>
      </c>
      <c r="D127" s="164">
        <f>INDEX(Data[],MATCH($A127,Data[Dist],0),MATCH(D$6,Data[#Headers],0))</f>
        <v>145576</v>
      </c>
      <c r="E127" s="164">
        <f>INDEX(Data[],MATCH($A127,Data[Dist],0),MATCH(E$6,Data[#Headers],0))</f>
        <v>145577</v>
      </c>
      <c r="F127" s="164">
        <f>INDEX(Data[],MATCH($A127,Data[Dist],0),MATCH(F$6,Data[#Headers],0))</f>
        <v>145575</v>
      </c>
      <c r="G127" s="22">
        <f>INDEX(Data[],MATCH($A127,Data[Dist],0),MATCH(G$6,Data[#Headers],0))</f>
        <v>1460390</v>
      </c>
      <c r="H127" s="22">
        <f>INDEX(Data[],MATCH($A127,Data[Dist],0),MATCH(H$6,Data[#Headers],0))-G127</f>
        <v>0</v>
      </c>
      <c r="I127" s="25"/>
      <c r="J127" s="22">
        <f>INDEX(Notes!$I$2:$N$11,MATCH(Notes!$B$2,Notes!$I$2:$I$11,0),4)*$C127</f>
        <v>586932</v>
      </c>
      <c r="K127" s="22">
        <f>INDEX(Notes!$I$2:$N$11,MATCH(Notes!$B$2,Notes!$I$2:$I$11,0),5)*$D127</f>
        <v>291152</v>
      </c>
      <c r="L127" s="22">
        <f>INDEX(Notes!$I$2:$N$11,MATCH(Notes!$B$2,Notes!$I$2:$I$11,0),6)*$E127</f>
        <v>436731</v>
      </c>
      <c r="M127" s="22">
        <f>IF(Notes!$B$2="June",'Payment Total'!$F127,0)</f>
        <v>145575</v>
      </c>
      <c r="N127" s="22">
        <f t="shared" si="7"/>
        <v>0</v>
      </c>
      <c r="P127" s="26">
        <v>25200000</v>
      </c>
      <c r="Q127" s="26">
        <v>145575</v>
      </c>
      <c r="R127" s="21" t="str">
        <f t="shared" si="8"/>
        <v>2520</v>
      </c>
      <c r="S127" s="44" t="str">
        <f t="shared" si="9"/>
        <v>2520</v>
      </c>
      <c r="T127" s="20">
        <f t="shared" si="10"/>
        <v>0</v>
      </c>
      <c r="V127" s="46" t="s">
        <v>931</v>
      </c>
      <c r="W127" s="26">
        <v>145575</v>
      </c>
      <c r="X127" s="21" t="str">
        <f t="shared" si="11"/>
        <v>2520</v>
      </c>
      <c r="Y127" s="44" t="str">
        <f t="shared" si="12"/>
        <v>2520</v>
      </c>
      <c r="Z127" s="45">
        <f t="shared" si="13"/>
        <v>0</v>
      </c>
    </row>
    <row r="128" spans="1:26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170439</v>
      </c>
      <c r="D128" s="164">
        <f>INDEX(Data[],MATCH($A128,Data[Dist],0),MATCH(D$6,Data[#Headers],0))</f>
        <v>168815</v>
      </c>
      <c r="E128" s="164">
        <f>INDEX(Data[],MATCH($A128,Data[Dist],0),MATCH(E$6,Data[#Headers],0))</f>
        <v>168816</v>
      </c>
      <c r="F128" s="164">
        <f>INDEX(Data[],MATCH($A128,Data[Dist],0),MATCH(F$6,Data[#Headers],0))</f>
        <v>168814</v>
      </c>
      <c r="G128" s="22">
        <f>INDEX(Data[],MATCH($A128,Data[Dist],0),MATCH(G$6,Data[#Headers],0))</f>
        <v>1694648</v>
      </c>
      <c r="H128" s="22">
        <f>INDEX(Data[],MATCH($A128,Data[Dist],0),MATCH(H$6,Data[#Headers],0))-G128</f>
        <v>0</v>
      </c>
      <c r="I128" s="25"/>
      <c r="J128" s="22">
        <f>INDEX(Notes!$I$2:$N$11,MATCH(Notes!$B$2,Notes!$I$2:$I$11,0),4)*$C128</f>
        <v>681756</v>
      </c>
      <c r="K128" s="22">
        <f>INDEX(Notes!$I$2:$N$11,MATCH(Notes!$B$2,Notes!$I$2:$I$11,0),5)*$D128</f>
        <v>337630</v>
      </c>
      <c r="L128" s="22">
        <f>INDEX(Notes!$I$2:$N$11,MATCH(Notes!$B$2,Notes!$I$2:$I$11,0),6)*$E128</f>
        <v>506448</v>
      </c>
      <c r="M128" s="22">
        <f>IF(Notes!$B$2="June",'Payment Total'!$F128,0)</f>
        <v>168814</v>
      </c>
      <c r="N128" s="22">
        <f t="shared" si="7"/>
        <v>0</v>
      </c>
      <c r="P128" s="26">
        <v>25560000</v>
      </c>
      <c r="Q128" s="26">
        <v>168814</v>
      </c>
      <c r="R128" s="21" t="str">
        <f t="shared" si="8"/>
        <v>2556</v>
      </c>
      <c r="S128" s="44" t="str">
        <f t="shared" si="9"/>
        <v>2556</v>
      </c>
      <c r="T128" s="20">
        <f t="shared" si="10"/>
        <v>0</v>
      </c>
      <c r="V128" s="46" t="s">
        <v>933</v>
      </c>
      <c r="W128" s="26">
        <v>168814</v>
      </c>
      <c r="X128" s="21" t="str">
        <f t="shared" si="11"/>
        <v>2556</v>
      </c>
      <c r="Y128" s="44" t="str">
        <f t="shared" si="12"/>
        <v>2556</v>
      </c>
      <c r="Z128" s="45">
        <f t="shared" si="13"/>
        <v>0</v>
      </c>
    </row>
    <row r="129" spans="1:26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382280</v>
      </c>
      <c r="D129" s="164">
        <f>INDEX(Data[],MATCH($A129,Data[Dist],0),MATCH(D$6,Data[#Headers],0))</f>
        <v>379599</v>
      </c>
      <c r="E129" s="164">
        <f>INDEX(Data[],MATCH($A129,Data[Dist],0),MATCH(E$6,Data[#Headers],0))</f>
        <v>379599</v>
      </c>
      <c r="F129" s="164">
        <f>INDEX(Data[],MATCH($A129,Data[Dist],0),MATCH(F$6,Data[#Headers],0))</f>
        <v>379599</v>
      </c>
      <c r="G129" s="22">
        <f>INDEX(Data[],MATCH($A129,Data[Dist],0),MATCH(G$6,Data[#Headers],0))</f>
        <v>3806714</v>
      </c>
      <c r="H129" s="22">
        <f>INDEX(Data[],MATCH($A129,Data[Dist],0),MATCH(H$6,Data[#Headers],0))-G129</f>
        <v>0</v>
      </c>
      <c r="I129" s="25"/>
      <c r="J129" s="22">
        <f>INDEX(Notes!$I$2:$N$11,MATCH(Notes!$B$2,Notes!$I$2:$I$11,0),4)*$C129</f>
        <v>1529120</v>
      </c>
      <c r="K129" s="22">
        <f>INDEX(Notes!$I$2:$N$11,MATCH(Notes!$B$2,Notes!$I$2:$I$11,0),5)*$D129</f>
        <v>759198</v>
      </c>
      <c r="L129" s="22">
        <f>INDEX(Notes!$I$2:$N$11,MATCH(Notes!$B$2,Notes!$I$2:$I$11,0),6)*$E129</f>
        <v>1138797</v>
      </c>
      <c r="M129" s="22">
        <f>IF(Notes!$B$2="June",'Payment Total'!$F129,0)</f>
        <v>379599</v>
      </c>
      <c r="N129" s="22">
        <f t="shared" si="7"/>
        <v>0</v>
      </c>
      <c r="P129" s="26">
        <v>26730000</v>
      </c>
      <c r="Q129" s="26">
        <v>379599</v>
      </c>
      <c r="R129" s="21" t="str">
        <f t="shared" si="8"/>
        <v>2673</v>
      </c>
      <c r="S129" s="44" t="str">
        <f t="shared" si="9"/>
        <v>2673</v>
      </c>
      <c r="T129" s="20">
        <f t="shared" si="10"/>
        <v>0</v>
      </c>
      <c r="V129" s="46" t="s">
        <v>1014</v>
      </c>
      <c r="W129" s="26">
        <v>379599</v>
      </c>
      <c r="X129" s="21" t="str">
        <f t="shared" si="11"/>
        <v>2673</v>
      </c>
      <c r="Y129" s="44" t="str">
        <f t="shared" si="12"/>
        <v>2673</v>
      </c>
      <c r="Z129" s="45">
        <f t="shared" si="13"/>
        <v>0</v>
      </c>
    </row>
    <row r="130" spans="1:26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142235</v>
      </c>
      <c r="D130" s="164">
        <f>INDEX(Data[],MATCH($A130,Data[Dist],0),MATCH(D$6,Data[#Headers],0))</f>
        <v>141063</v>
      </c>
      <c r="E130" s="164">
        <f>INDEX(Data[],MATCH($A130,Data[Dist],0),MATCH(E$6,Data[#Headers],0))</f>
        <v>141064</v>
      </c>
      <c r="F130" s="164">
        <f>INDEX(Data[],MATCH($A130,Data[Dist],0),MATCH(F$6,Data[#Headers],0))</f>
        <v>141062</v>
      </c>
      <c r="G130" s="22">
        <f>INDEX(Data[],MATCH($A130,Data[Dist],0),MATCH(G$6,Data[#Headers],0))</f>
        <v>1415320</v>
      </c>
      <c r="H130" s="22">
        <f>INDEX(Data[],MATCH($A130,Data[Dist],0),MATCH(H$6,Data[#Headers],0))-G130</f>
        <v>0</v>
      </c>
      <c r="I130" s="25"/>
      <c r="J130" s="22">
        <f>INDEX(Notes!$I$2:$N$11,MATCH(Notes!$B$2,Notes!$I$2:$I$11,0),4)*$C130</f>
        <v>568940</v>
      </c>
      <c r="K130" s="22">
        <f>INDEX(Notes!$I$2:$N$11,MATCH(Notes!$B$2,Notes!$I$2:$I$11,0),5)*$D130</f>
        <v>282126</v>
      </c>
      <c r="L130" s="22">
        <f>INDEX(Notes!$I$2:$N$11,MATCH(Notes!$B$2,Notes!$I$2:$I$11,0),6)*$E130</f>
        <v>423192</v>
      </c>
      <c r="M130" s="22">
        <f>IF(Notes!$B$2="June",'Payment Total'!$F130,0)</f>
        <v>141062</v>
      </c>
      <c r="N130" s="22">
        <f t="shared" si="7"/>
        <v>0</v>
      </c>
      <c r="P130" s="26">
        <v>26820000</v>
      </c>
      <c r="Q130" s="26">
        <v>141062</v>
      </c>
      <c r="R130" s="21" t="str">
        <f t="shared" si="8"/>
        <v>2682</v>
      </c>
      <c r="S130" s="44" t="str">
        <f t="shared" si="9"/>
        <v>2682</v>
      </c>
      <c r="T130" s="20">
        <f t="shared" si="10"/>
        <v>0</v>
      </c>
      <c r="V130" s="46" t="s">
        <v>932</v>
      </c>
      <c r="W130" s="26">
        <v>141062</v>
      </c>
      <c r="X130" s="21" t="str">
        <f t="shared" si="11"/>
        <v>2682</v>
      </c>
      <c r="Y130" s="44" t="str">
        <f t="shared" si="12"/>
        <v>2682</v>
      </c>
      <c r="Z130" s="45">
        <f t="shared" si="13"/>
        <v>0</v>
      </c>
    </row>
    <row r="131" spans="1:26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966392</v>
      </c>
      <c r="D131" s="164">
        <f>INDEX(Data[],MATCH($A131,Data[Dist],0),MATCH(D$6,Data[#Headers],0))</f>
        <v>959739</v>
      </c>
      <c r="E131" s="164">
        <f>INDEX(Data[],MATCH($A131,Data[Dist],0),MATCH(E$6,Data[#Headers],0))</f>
        <v>959739</v>
      </c>
      <c r="F131" s="164">
        <f>INDEX(Data[],MATCH($A131,Data[Dist],0),MATCH(F$6,Data[#Headers],0))</f>
        <v>959737</v>
      </c>
      <c r="G131" s="22">
        <f>INDEX(Data[],MATCH($A131,Data[Dist],0),MATCH(G$6,Data[#Headers],0))</f>
        <v>9624000</v>
      </c>
      <c r="H131" s="22">
        <f>INDEX(Data[],MATCH($A131,Data[Dist],0),MATCH(H$6,Data[#Headers],0))-G131</f>
        <v>0</v>
      </c>
      <c r="I131" s="25"/>
      <c r="J131" s="22">
        <f>INDEX(Notes!$I$2:$N$11,MATCH(Notes!$B$2,Notes!$I$2:$I$11,0),4)*$C131</f>
        <v>3865568</v>
      </c>
      <c r="K131" s="22">
        <f>INDEX(Notes!$I$2:$N$11,MATCH(Notes!$B$2,Notes!$I$2:$I$11,0),5)*$D131</f>
        <v>1919478</v>
      </c>
      <c r="L131" s="22">
        <f>INDEX(Notes!$I$2:$N$11,MATCH(Notes!$B$2,Notes!$I$2:$I$11,0),6)*$E131</f>
        <v>2879217</v>
      </c>
      <c r="M131" s="22">
        <f>IF(Notes!$B$2="June",'Payment Total'!$F131,0)</f>
        <v>959737</v>
      </c>
      <c r="N131" s="22">
        <f t="shared" si="7"/>
        <v>0</v>
      </c>
      <c r="P131" s="26">
        <v>27090000</v>
      </c>
      <c r="Q131" s="26">
        <v>959737</v>
      </c>
      <c r="R131" s="21" t="str">
        <f t="shared" si="8"/>
        <v>2709</v>
      </c>
      <c r="S131" s="44" t="str">
        <f t="shared" si="9"/>
        <v>2709</v>
      </c>
      <c r="T131" s="20">
        <f t="shared" si="10"/>
        <v>0</v>
      </c>
      <c r="V131" s="46" t="s">
        <v>935</v>
      </c>
      <c r="W131" s="26">
        <v>959737</v>
      </c>
      <c r="X131" s="21" t="str">
        <f t="shared" si="11"/>
        <v>2709</v>
      </c>
      <c r="Y131" s="44" t="str">
        <f t="shared" si="12"/>
        <v>2709</v>
      </c>
      <c r="Z131" s="45">
        <f t="shared" si="13"/>
        <v>0</v>
      </c>
    </row>
    <row r="132" spans="1:26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288871</v>
      </c>
      <c r="D132" s="164">
        <f>INDEX(Data[],MATCH($A132,Data[Dist],0),MATCH(D$6,Data[#Headers],0))</f>
        <v>286774</v>
      </c>
      <c r="E132" s="164">
        <f>INDEX(Data[],MATCH($A132,Data[Dist],0),MATCH(E$6,Data[#Headers],0))</f>
        <v>286773</v>
      </c>
      <c r="F132" s="164">
        <f>INDEX(Data[],MATCH($A132,Data[Dist],0),MATCH(F$6,Data[#Headers],0))</f>
        <v>286774</v>
      </c>
      <c r="G132" s="22">
        <f>INDEX(Data[],MATCH($A132,Data[Dist],0),MATCH(G$6,Data[#Headers],0))</f>
        <v>2876125</v>
      </c>
      <c r="H132" s="22">
        <f>INDEX(Data[],MATCH($A132,Data[Dist],0),MATCH(H$6,Data[#Headers],0))-G132</f>
        <v>0</v>
      </c>
      <c r="I132" s="25"/>
      <c r="J132" s="22">
        <f>INDEX(Notes!$I$2:$N$11,MATCH(Notes!$B$2,Notes!$I$2:$I$11,0),4)*$C132</f>
        <v>1155484</v>
      </c>
      <c r="K132" s="22">
        <f>INDEX(Notes!$I$2:$N$11,MATCH(Notes!$B$2,Notes!$I$2:$I$11,0),5)*$D132</f>
        <v>573548</v>
      </c>
      <c r="L132" s="22">
        <f>INDEX(Notes!$I$2:$N$11,MATCH(Notes!$B$2,Notes!$I$2:$I$11,0),6)*$E132</f>
        <v>860319</v>
      </c>
      <c r="M132" s="22">
        <f>IF(Notes!$B$2="June",'Payment Total'!$F132,0)</f>
        <v>286774</v>
      </c>
      <c r="N132" s="22">
        <f t="shared" si="7"/>
        <v>0</v>
      </c>
      <c r="P132" s="26">
        <v>27180000</v>
      </c>
      <c r="Q132" s="26">
        <v>286774</v>
      </c>
      <c r="R132" s="21" t="str">
        <f t="shared" si="8"/>
        <v>2718</v>
      </c>
      <c r="S132" s="44" t="str">
        <f t="shared" si="9"/>
        <v>2718</v>
      </c>
      <c r="T132" s="20">
        <f t="shared" si="10"/>
        <v>0</v>
      </c>
      <c r="V132" s="46" t="s">
        <v>936</v>
      </c>
      <c r="W132" s="26">
        <v>286774</v>
      </c>
      <c r="X132" s="21" t="str">
        <f t="shared" si="11"/>
        <v>2718</v>
      </c>
      <c r="Y132" s="44" t="str">
        <f t="shared" si="12"/>
        <v>2718</v>
      </c>
      <c r="Z132" s="45">
        <f t="shared" si="13"/>
        <v>0</v>
      </c>
    </row>
    <row r="133" spans="1:26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410466</v>
      </c>
      <c r="D133" s="164">
        <f>INDEX(Data[],MATCH($A133,Data[Dist],0),MATCH(D$6,Data[#Headers],0))</f>
        <v>407743</v>
      </c>
      <c r="E133" s="164">
        <f>INDEX(Data[],MATCH($A133,Data[Dist],0),MATCH(E$6,Data[#Headers],0))</f>
        <v>407743</v>
      </c>
      <c r="F133" s="164">
        <f>INDEX(Data[],MATCH($A133,Data[Dist],0),MATCH(F$6,Data[#Headers],0))</f>
        <v>407741</v>
      </c>
      <c r="G133" s="22">
        <f>INDEX(Data[],MATCH($A133,Data[Dist],0),MATCH(G$6,Data[#Headers],0))</f>
        <v>4088320</v>
      </c>
      <c r="H133" s="22">
        <f>INDEX(Data[],MATCH($A133,Data[Dist],0),MATCH(H$6,Data[#Headers],0))-G133</f>
        <v>0</v>
      </c>
      <c r="I133" s="25"/>
      <c r="J133" s="22">
        <f>INDEX(Notes!$I$2:$N$11,MATCH(Notes!$B$2,Notes!$I$2:$I$11,0),4)*$C133</f>
        <v>1641864</v>
      </c>
      <c r="K133" s="22">
        <f>INDEX(Notes!$I$2:$N$11,MATCH(Notes!$B$2,Notes!$I$2:$I$11,0),5)*$D133</f>
        <v>815486</v>
      </c>
      <c r="L133" s="22">
        <f>INDEX(Notes!$I$2:$N$11,MATCH(Notes!$B$2,Notes!$I$2:$I$11,0),6)*$E133</f>
        <v>1223229</v>
      </c>
      <c r="M133" s="22">
        <f>IF(Notes!$B$2="June",'Payment Total'!$F133,0)</f>
        <v>407741</v>
      </c>
      <c r="N133" s="22">
        <f t="shared" si="7"/>
        <v>0</v>
      </c>
      <c r="P133" s="26">
        <v>27270000</v>
      </c>
      <c r="Q133" s="26">
        <v>407741</v>
      </c>
      <c r="R133" s="21" t="str">
        <f t="shared" si="8"/>
        <v>2727</v>
      </c>
      <c r="S133" s="44" t="str">
        <f t="shared" si="9"/>
        <v>2727</v>
      </c>
      <c r="T133" s="20">
        <f t="shared" si="10"/>
        <v>0</v>
      </c>
      <c r="V133" s="46" t="s">
        <v>937</v>
      </c>
      <c r="W133" s="26">
        <v>407741</v>
      </c>
      <c r="X133" s="21" t="str">
        <f t="shared" si="11"/>
        <v>2727</v>
      </c>
      <c r="Y133" s="44" t="str">
        <f t="shared" si="12"/>
        <v>2727</v>
      </c>
      <c r="Z133" s="45">
        <f t="shared" si="13"/>
        <v>0</v>
      </c>
    </row>
    <row r="134" spans="1:26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276465</v>
      </c>
      <c r="D134" s="164">
        <f>INDEX(Data[],MATCH($A134,Data[Dist],0),MATCH(D$6,Data[#Headers],0))</f>
        <v>274601</v>
      </c>
      <c r="E134" s="164">
        <f>INDEX(Data[],MATCH($A134,Data[Dist],0),MATCH(E$6,Data[#Headers],0))</f>
        <v>274601</v>
      </c>
      <c r="F134" s="164">
        <f>INDEX(Data[],MATCH($A134,Data[Dist],0),MATCH(F$6,Data[#Headers],0))</f>
        <v>274601</v>
      </c>
      <c r="G134" s="22">
        <f>INDEX(Data[],MATCH($A134,Data[Dist],0),MATCH(G$6,Data[#Headers],0))</f>
        <v>2753466</v>
      </c>
      <c r="H134" s="22">
        <f>INDEX(Data[],MATCH($A134,Data[Dist],0),MATCH(H$6,Data[#Headers],0))-G134</f>
        <v>0</v>
      </c>
      <c r="I134" s="25"/>
      <c r="J134" s="22">
        <f>INDEX(Notes!$I$2:$N$11,MATCH(Notes!$B$2,Notes!$I$2:$I$11,0),4)*$C134</f>
        <v>1105860</v>
      </c>
      <c r="K134" s="22">
        <f>INDEX(Notes!$I$2:$N$11,MATCH(Notes!$B$2,Notes!$I$2:$I$11,0),5)*$D134</f>
        <v>549202</v>
      </c>
      <c r="L134" s="22">
        <f>INDEX(Notes!$I$2:$N$11,MATCH(Notes!$B$2,Notes!$I$2:$I$11,0),6)*$E134</f>
        <v>823803</v>
      </c>
      <c r="M134" s="22">
        <f>IF(Notes!$B$2="June",'Payment Total'!$F134,0)</f>
        <v>274601</v>
      </c>
      <c r="N134" s="22">
        <f t="shared" si="7"/>
        <v>0</v>
      </c>
      <c r="P134" s="26">
        <v>27540000</v>
      </c>
      <c r="Q134" s="26">
        <v>274601</v>
      </c>
      <c r="R134" s="21" t="str">
        <f t="shared" si="8"/>
        <v>2754</v>
      </c>
      <c r="S134" s="44" t="str">
        <f t="shared" si="9"/>
        <v>2754</v>
      </c>
      <c r="T134" s="20">
        <f t="shared" si="10"/>
        <v>0</v>
      </c>
      <c r="V134" s="46" t="s">
        <v>938</v>
      </c>
      <c r="W134" s="26">
        <v>274601</v>
      </c>
      <c r="X134" s="21" t="str">
        <f t="shared" si="11"/>
        <v>2754</v>
      </c>
      <c r="Y134" s="44" t="str">
        <f t="shared" si="12"/>
        <v>2754</v>
      </c>
      <c r="Z134" s="45">
        <f t="shared" si="13"/>
        <v>0</v>
      </c>
    </row>
    <row r="135" spans="1:26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251727</v>
      </c>
      <c r="D135" s="164">
        <f>INDEX(Data[],MATCH($A135,Data[Dist],0),MATCH(D$6,Data[#Headers],0))</f>
        <v>249348</v>
      </c>
      <c r="E135" s="164">
        <f>INDEX(Data[],MATCH($A135,Data[Dist],0),MATCH(E$6,Data[#Headers],0))</f>
        <v>249348</v>
      </c>
      <c r="F135" s="164">
        <f>INDEX(Data[],MATCH($A135,Data[Dist],0),MATCH(F$6,Data[#Headers],0))</f>
        <v>249347</v>
      </c>
      <c r="G135" s="22">
        <f>INDEX(Data[],MATCH($A135,Data[Dist],0),MATCH(G$6,Data[#Headers],0))</f>
        <v>2502995</v>
      </c>
      <c r="H135" s="22">
        <f>INDEX(Data[],MATCH($A135,Data[Dist],0),MATCH(H$6,Data[#Headers],0))-G135</f>
        <v>0</v>
      </c>
      <c r="I135" s="25"/>
      <c r="J135" s="22">
        <f>INDEX(Notes!$I$2:$N$11,MATCH(Notes!$B$2,Notes!$I$2:$I$11,0),4)*$C135</f>
        <v>1006908</v>
      </c>
      <c r="K135" s="22">
        <f>INDEX(Notes!$I$2:$N$11,MATCH(Notes!$B$2,Notes!$I$2:$I$11,0),5)*$D135</f>
        <v>498696</v>
      </c>
      <c r="L135" s="22">
        <f>INDEX(Notes!$I$2:$N$11,MATCH(Notes!$B$2,Notes!$I$2:$I$11,0),6)*$E135</f>
        <v>748044</v>
      </c>
      <c r="M135" s="22">
        <f>IF(Notes!$B$2="June",'Payment Total'!$F135,0)</f>
        <v>249347</v>
      </c>
      <c r="N135" s="22">
        <f t="shared" si="7"/>
        <v>0</v>
      </c>
      <c r="P135" s="26">
        <v>27630000</v>
      </c>
      <c r="Q135" s="26">
        <v>249347</v>
      </c>
      <c r="R135" s="21" t="str">
        <f t="shared" si="8"/>
        <v>2763</v>
      </c>
      <c r="S135" s="44" t="str">
        <f t="shared" si="9"/>
        <v>2763</v>
      </c>
      <c r="T135" s="20">
        <f t="shared" si="10"/>
        <v>0</v>
      </c>
      <c r="V135" s="46" t="s">
        <v>875</v>
      </c>
      <c r="W135" s="26">
        <v>249347</v>
      </c>
      <c r="X135" s="21" t="str">
        <f t="shared" si="11"/>
        <v>2763</v>
      </c>
      <c r="Y135" s="44" t="str">
        <f t="shared" si="12"/>
        <v>2763</v>
      </c>
      <c r="Z135" s="45">
        <f t="shared" si="13"/>
        <v>0</v>
      </c>
    </row>
    <row r="136" spans="1:26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190772</v>
      </c>
      <c r="D136" s="164">
        <f>INDEX(Data[],MATCH($A136,Data[Dist],0),MATCH(D$6,Data[#Headers],0))</f>
        <v>189382</v>
      </c>
      <c r="E136" s="164">
        <f>INDEX(Data[],MATCH($A136,Data[Dist],0),MATCH(E$6,Data[#Headers],0))</f>
        <v>189383</v>
      </c>
      <c r="F136" s="164">
        <f>INDEX(Data[],MATCH($A136,Data[Dist],0),MATCH(F$6,Data[#Headers],0))</f>
        <v>189381</v>
      </c>
      <c r="G136" s="22">
        <f>INDEX(Data[],MATCH($A136,Data[Dist],0),MATCH(G$6,Data[#Headers],0))</f>
        <v>1899382</v>
      </c>
      <c r="H136" s="22">
        <f>INDEX(Data[],MATCH($A136,Data[Dist],0),MATCH(H$6,Data[#Headers],0))-G136</f>
        <v>0</v>
      </c>
      <c r="I136" s="25"/>
      <c r="J136" s="22">
        <f>INDEX(Notes!$I$2:$N$11,MATCH(Notes!$B$2,Notes!$I$2:$I$11,0),4)*$C136</f>
        <v>763088</v>
      </c>
      <c r="K136" s="22">
        <f>INDEX(Notes!$I$2:$N$11,MATCH(Notes!$B$2,Notes!$I$2:$I$11,0),5)*$D136</f>
        <v>378764</v>
      </c>
      <c r="L136" s="22">
        <f>INDEX(Notes!$I$2:$N$11,MATCH(Notes!$B$2,Notes!$I$2:$I$11,0),6)*$E136</f>
        <v>568149</v>
      </c>
      <c r="M136" s="22">
        <f>IF(Notes!$B$2="June",'Payment Total'!$F136,0)</f>
        <v>189381</v>
      </c>
      <c r="N136" s="22">
        <f t="shared" ref="N136:N199" si="14">SUM(J136:M136)-G136</f>
        <v>0</v>
      </c>
      <c r="P136" s="26">
        <v>27660000</v>
      </c>
      <c r="Q136" s="26">
        <v>189381</v>
      </c>
      <c r="R136" s="21" t="str">
        <f t="shared" ref="R136:R199" si="15">TEXT(P136/10000,"0000")</f>
        <v>2766</v>
      </c>
      <c r="S136" s="44" t="str">
        <f t="shared" ref="S136:S199" si="16">IF(R136="1968","3582",IF(R136="5160","5319",IF(R136="5510","4824",IF(R136="6536","1935",IF(R136="6035","6048",IF(R136="5325","5323",IF(R136="6099","5157",R136)))))))</f>
        <v>2766</v>
      </c>
      <c r="T136" s="20">
        <f t="shared" ref="T136:T199" si="17">INDEX($A$7:$H$336,MATCH($S136,$A$7:$A$336,0),6)-Q136</f>
        <v>0</v>
      </c>
      <c r="V136" s="46" t="s">
        <v>947</v>
      </c>
      <c r="W136" s="26">
        <v>189381</v>
      </c>
      <c r="X136" s="21" t="str">
        <f t="shared" ref="X136:X199" si="18">TEXT(V136/10000,"0000")</f>
        <v>2766</v>
      </c>
      <c r="Y136" s="44" t="str">
        <f t="shared" ref="Y136:Y199" si="19">IF(X136="1968","3582",IF(X136="5160","5319",IF(X136="5510","4824",IF(X136="6536","1935",IF(X136="6035","6048",IF(X136="5325","5323",IF(X136="6099","5157",X136)))))))</f>
        <v>2766</v>
      </c>
      <c r="Z136" s="45">
        <f t="shared" ref="Z136:Z199" si="20">INDEX($A$7:$H$336,MATCH($Y136,$A$7:$A$336,0),6)-W136</f>
        <v>0</v>
      </c>
    </row>
    <row r="137" spans="1:26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108788</v>
      </c>
      <c r="D137" s="164">
        <f>INDEX(Data[],MATCH($A137,Data[Dist],0),MATCH(D$6,Data[#Headers],0))</f>
        <v>107867</v>
      </c>
      <c r="E137" s="164">
        <f>INDEX(Data[],MATCH($A137,Data[Dist],0),MATCH(E$6,Data[#Headers],0))</f>
        <v>107867</v>
      </c>
      <c r="F137" s="164">
        <f>INDEX(Data[],MATCH($A137,Data[Dist],0),MATCH(F$6,Data[#Headers],0))</f>
        <v>107868</v>
      </c>
      <c r="G137" s="22">
        <f>INDEX(Data[],MATCH($A137,Data[Dist],0),MATCH(G$6,Data[#Headers],0))</f>
        <v>1082355</v>
      </c>
      <c r="H137" s="22">
        <f>INDEX(Data[],MATCH($A137,Data[Dist],0),MATCH(H$6,Data[#Headers],0))-G137</f>
        <v>0</v>
      </c>
      <c r="I137" s="25"/>
      <c r="J137" s="22">
        <f>INDEX(Notes!$I$2:$N$11,MATCH(Notes!$B$2,Notes!$I$2:$I$11,0),4)*$C137</f>
        <v>435152</v>
      </c>
      <c r="K137" s="22">
        <f>INDEX(Notes!$I$2:$N$11,MATCH(Notes!$B$2,Notes!$I$2:$I$11,0),5)*$D137</f>
        <v>215734</v>
      </c>
      <c r="L137" s="22">
        <f>INDEX(Notes!$I$2:$N$11,MATCH(Notes!$B$2,Notes!$I$2:$I$11,0),6)*$E137</f>
        <v>323601</v>
      </c>
      <c r="M137" s="22">
        <f>IF(Notes!$B$2="June",'Payment Total'!$F137,0)</f>
        <v>107868</v>
      </c>
      <c r="N137" s="22">
        <f t="shared" si="14"/>
        <v>0</v>
      </c>
      <c r="P137" s="26">
        <v>27720000</v>
      </c>
      <c r="Q137" s="26">
        <v>107868</v>
      </c>
      <c r="R137" s="21" t="str">
        <f t="shared" si="15"/>
        <v>2772</v>
      </c>
      <c r="S137" s="44" t="str">
        <f t="shared" si="16"/>
        <v>2772</v>
      </c>
      <c r="T137" s="20">
        <f t="shared" si="17"/>
        <v>0</v>
      </c>
      <c r="V137" s="46" t="s">
        <v>939</v>
      </c>
      <c r="W137" s="26">
        <v>107868</v>
      </c>
      <c r="X137" s="21" t="str">
        <f t="shared" si="18"/>
        <v>2772</v>
      </c>
      <c r="Y137" s="44" t="str">
        <f t="shared" si="19"/>
        <v>2772</v>
      </c>
      <c r="Z137" s="45">
        <f t="shared" si="20"/>
        <v>0</v>
      </c>
    </row>
    <row r="138" spans="1:26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799390</v>
      </c>
      <c r="D138" s="164">
        <f>INDEX(Data[],MATCH($A138,Data[Dist],0),MATCH(D$6,Data[#Headers],0))</f>
        <v>794394</v>
      </c>
      <c r="E138" s="164">
        <f>INDEX(Data[],MATCH($A138,Data[Dist],0),MATCH(E$6,Data[#Headers],0))</f>
        <v>794393</v>
      </c>
      <c r="F138" s="164">
        <f>INDEX(Data[],MATCH($A138,Data[Dist],0),MATCH(F$6,Data[#Headers],0))</f>
        <v>794394</v>
      </c>
      <c r="G138" s="22">
        <f>INDEX(Data[],MATCH($A138,Data[Dist],0),MATCH(G$6,Data[#Headers],0))</f>
        <v>7963921</v>
      </c>
      <c r="H138" s="22">
        <f>INDEX(Data[],MATCH($A138,Data[Dist],0),MATCH(H$6,Data[#Headers],0))-G138</f>
        <v>0</v>
      </c>
      <c r="I138" s="25"/>
      <c r="J138" s="22">
        <f>INDEX(Notes!$I$2:$N$11,MATCH(Notes!$B$2,Notes!$I$2:$I$11,0),4)*$C138</f>
        <v>3197560</v>
      </c>
      <c r="K138" s="22">
        <f>INDEX(Notes!$I$2:$N$11,MATCH(Notes!$B$2,Notes!$I$2:$I$11,0),5)*$D138</f>
        <v>1588788</v>
      </c>
      <c r="L138" s="22">
        <f>INDEX(Notes!$I$2:$N$11,MATCH(Notes!$B$2,Notes!$I$2:$I$11,0),6)*$E138</f>
        <v>2383179</v>
      </c>
      <c r="M138" s="22">
        <f>IF(Notes!$B$2="June",'Payment Total'!$F138,0)</f>
        <v>794394</v>
      </c>
      <c r="N138" s="22">
        <f t="shared" si="14"/>
        <v>0</v>
      </c>
      <c r="P138" s="26">
        <v>27810000</v>
      </c>
      <c r="Q138" s="26">
        <v>794394</v>
      </c>
      <c r="R138" s="21" t="str">
        <f t="shared" si="15"/>
        <v>2781</v>
      </c>
      <c r="S138" s="44" t="str">
        <f t="shared" si="16"/>
        <v>2781</v>
      </c>
      <c r="T138" s="20">
        <f t="shared" si="17"/>
        <v>0</v>
      </c>
      <c r="V138" s="46" t="s">
        <v>940</v>
      </c>
      <c r="W138" s="26">
        <v>794394</v>
      </c>
      <c r="X138" s="21" t="str">
        <f t="shared" si="18"/>
        <v>2781</v>
      </c>
      <c r="Y138" s="44" t="str">
        <f t="shared" si="19"/>
        <v>2781</v>
      </c>
      <c r="Z138" s="45">
        <f t="shared" si="20"/>
        <v>0</v>
      </c>
    </row>
    <row r="139" spans="1:26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842205</v>
      </c>
      <c r="D139" s="164">
        <f>INDEX(Data[],MATCH($A139,Data[Dist],0),MATCH(D$6,Data[#Headers],0))</f>
        <v>836249</v>
      </c>
      <c r="E139" s="164">
        <f>INDEX(Data[],MATCH($A139,Data[Dist],0),MATCH(E$6,Data[#Headers],0))</f>
        <v>836248</v>
      </c>
      <c r="F139" s="164">
        <f>INDEX(Data[],MATCH($A139,Data[Dist],0),MATCH(F$6,Data[#Headers],0))</f>
        <v>836249</v>
      </c>
      <c r="G139" s="22">
        <f>INDEX(Data[],MATCH($A139,Data[Dist],0),MATCH(G$6,Data[#Headers],0))</f>
        <v>8386311</v>
      </c>
      <c r="H139" s="22">
        <f>INDEX(Data[],MATCH($A139,Data[Dist],0),MATCH(H$6,Data[#Headers],0))-G139</f>
        <v>0</v>
      </c>
      <c r="I139" s="25"/>
      <c r="J139" s="22">
        <f>INDEX(Notes!$I$2:$N$11,MATCH(Notes!$B$2,Notes!$I$2:$I$11,0),4)*$C139</f>
        <v>3368820</v>
      </c>
      <c r="K139" s="22">
        <f>INDEX(Notes!$I$2:$N$11,MATCH(Notes!$B$2,Notes!$I$2:$I$11,0),5)*$D139</f>
        <v>1672498</v>
      </c>
      <c r="L139" s="22">
        <f>INDEX(Notes!$I$2:$N$11,MATCH(Notes!$B$2,Notes!$I$2:$I$11,0),6)*$E139</f>
        <v>2508744</v>
      </c>
      <c r="M139" s="22">
        <f>IF(Notes!$B$2="June",'Payment Total'!$F139,0)</f>
        <v>836249</v>
      </c>
      <c r="N139" s="22">
        <f t="shared" si="14"/>
        <v>0</v>
      </c>
      <c r="P139" s="26">
        <v>28260000</v>
      </c>
      <c r="Q139" s="26">
        <v>836249</v>
      </c>
      <c r="R139" s="21" t="str">
        <f t="shared" si="15"/>
        <v>2826</v>
      </c>
      <c r="S139" s="44" t="str">
        <f t="shared" si="16"/>
        <v>2826</v>
      </c>
      <c r="T139" s="20">
        <f t="shared" si="17"/>
        <v>0</v>
      </c>
      <c r="V139" s="46" t="s">
        <v>941</v>
      </c>
      <c r="W139" s="26">
        <v>836249</v>
      </c>
      <c r="X139" s="21" t="str">
        <f t="shared" si="18"/>
        <v>2826</v>
      </c>
      <c r="Y139" s="44" t="str">
        <f t="shared" si="19"/>
        <v>2826</v>
      </c>
      <c r="Z139" s="45">
        <f t="shared" si="20"/>
        <v>0</v>
      </c>
    </row>
    <row r="140" spans="1:26" s="26" customFormat="1" ht="12.75" x14ac:dyDescent="0.2">
      <c r="A140" s="20" t="str">
        <f>Data!B135</f>
        <v>2834</v>
      </c>
      <c r="B140" s="21" t="str">
        <f>INDEX(Data[],MATCH($A140,Data[Dist],0),MATCH(B$6,Data[#Headers],0))</f>
        <v>Harmony</v>
      </c>
      <c r="C140" s="22">
        <f>INDEX(Data[],MATCH($A140,Data[Dist],0),MATCH(C$6,Data[#Headers],0))</f>
        <v>228697</v>
      </c>
      <c r="D140" s="164">
        <f>INDEX(Data[],MATCH($A140,Data[Dist],0),MATCH(D$6,Data[#Headers],0))</f>
        <v>227256</v>
      </c>
      <c r="E140" s="164">
        <f>INDEX(Data[],MATCH($A140,Data[Dist],0),MATCH(E$6,Data[#Headers],0))</f>
        <v>227255</v>
      </c>
      <c r="F140" s="164">
        <f>INDEX(Data[],MATCH($A140,Data[Dist],0),MATCH(F$6,Data[#Headers],0))</f>
        <v>227256</v>
      </c>
      <c r="G140" s="22">
        <f>INDEX(Data[],MATCH($A140,Data[Dist],0),MATCH(G$6,Data[#Headers],0))</f>
        <v>2278321</v>
      </c>
      <c r="H140" s="22">
        <f>INDEX(Data[],MATCH($A140,Data[Dist],0),MATCH(H$6,Data[#Headers],0))-G140</f>
        <v>0</v>
      </c>
      <c r="I140" s="25"/>
      <c r="J140" s="22">
        <f>INDEX(Notes!$I$2:$N$11,MATCH(Notes!$B$2,Notes!$I$2:$I$11,0),4)*$C140</f>
        <v>914788</v>
      </c>
      <c r="K140" s="22">
        <f>INDEX(Notes!$I$2:$N$11,MATCH(Notes!$B$2,Notes!$I$2:$I$11,0),5)*$D140</f>
        <v>454512</v>
      </c>
      <c r="L140" s="22">
        <f>INDEX(Notes!$I$2:$N$11,MATCH(Notes!$B$2,Notes!$I$2:$I$11,0),6)*$E140</f>
        <v>681765</v>
      </c>
      <c r="M140" s="22">
        <f>IF(Notes!$B$2="June",'Payment Total'!$F140,0)</f>
        <v>227256</v>
      </c>
      <c r="N140" s="22">
        <f t="shared" si="14"/>
        <v>0</v>
      </c>
      <c r="P140" s="26">
        <v>28340000</v>
      </c>
      <c r="Q140" s="26">
        <v>227256</v>
      </c>
      <c r="R140" s="21" t="str">
        <f t="shared" si="15"/>
        <v>2834</v>
      </c>
      <c r="S140" s="44" t="str">
        <f t="shared" si="16"/>
        <v>2834</v>
      </c>
      <c r="T140" s="20">
        <f t="shared" si="17"/>
        <v>0</v>
      </c>
      <c r="V140" s="46" t="s">
        <v>942</v>
      </c>
      <c r="W140" s="26">
        <v>227256</v>
      </c>
      <c r="X140" s="21" t="str">
        <f t="shared" si="18"/>
        <v>2834</v>
      </c>
      <c r="Y140" s="44" t="str">
        <f t="shared" si="19"/>
        <v>2834</v>
      </c>
      <c r="Z140" s="45">
        <f t="shared" si="20"/>
        <v>0</v>
      </c>
    </row>
    <row r="141" spans="1:26" s="26" customFormat="1" ht="12.75" x14ac:dyDescent="0.2">
      <c r="A141" s="20" t="str">
        <f>Data!B136</f>
        <v>2846</v>
      </c>
      <c r="B141" s="21" t="str">
        <f>INDEX(Data[],MATCH($A141,Data[Dist],0),MATCH(B$6,Data[#Headers],0))</f>
        <v>Harris-Lake Park</v>
      </c>
      <c r="C141" s="22">
        <f>INDEX(Data[],MATCH($A141,Data[Dist],0),MATCH(C$6,Data[#Headers],0))</f>
        <v>107102</v>
      </c>
      <c r="D141" s="164">
        <f>INDEX(Data[],MATCH($A141,Data[Dist],0),MATCH(D$6,Data[#Headers],0))</f>
        <v>105824</v>
      </c>
      <c r="E141" s="164">
        <f>INDEX(Data[],MATCH($A141,Data[Dist],0),MATCH(E$6,Data[#Headers],0))</f>
        <v>105824</v>
      </c>
      <c r="F141" s="164">
        <f>INDEX(Data[],MATCH($A141,Data[Dist],0),MATCH(F$6,Data[#Headers],0))</f>
        <v>105824</v>
      </c>
      <c r="G141" s="22">
        <f>INDEX(Data[],MATCH($A141,Data[Dist],0),MATCH(G$6,Data[#Headers],0))</f>
        <v>1063352</v>
      </c>
      <c r="H141" s="22">
        <f>INDEX(Data[],MATCH($A141,Data[Dist],0),MATCH(H$6,Data[#Headers],0))-G141</f>
        <v>0</v>
      </c>
      <c r="I141" s="25"/>
      <c r="J141" s="22">
        <f>INDEX(Notes!$I$2:$N$11,MATCH(Notes!$B$2,Notes!$I$2:$I$11,0),4)*$C141</f>
        <v>428408</v>
      </c>
      <c r="K141" s="22">
        <f>INDEX(Notes!$I$2:$N$11,MATCH(Notes!$B$2,Notes!$I$2:$I$11,0),5)*$D141</f>
        <v>211648</v>
      </c>
      <c r="L141" s="22">
        <f>INDEX(Notes!$I$2:$N$11,MATCH(Notes!$B$2,Notes!$I$2:$I$11,0),6)*$E141</f>
        <v>317472</v>
      </c>
      <c r="M141" s="22">
        <f>IF(Notes!$B$2="June",'Payment Total'!$F141,0)</f>
        <v>105824</v>
      </c>
      <c r="N141" s="22">
        <f t="shared" si="14"/>
        <v>0</v>
      </c>
      <c r="P141" s="26">
        <v>28460000</v>
      </c>
      <c r="Q141" s="26">
        <v>105824</v>
      </c>
      <c r="R141" s="21" t="str">
        <f t="shared" si="15"/>
        <v>2846</v>
      </c>
      <c r="S141" s="44" t="str">
        <f t="shared" si="16"/>
        <v>2846</v>
      </c>
      <c r="T141" s="20">
        <f t="shared" si="17"/>
        <v>0</v>
      </c>
      <c r="V141" s="46" t="s">
        <v>943</v>
      </c>
      <c r="W141" s="26">
        <v>105824</v>
      </c>
      <c r="X141" s="21" t="str">
        <f t="shared" si="18"/>
        <v>2846</v>
      </c>
      <c r="Y141" s="44" t="str">
        <f t="shared" si="19"/>
        <v>2846</v>
      </c>
      <c r="Z141" s="45">
        <f t="shared" si="20"/>
        <v>0</v>
      </c>
    </row>
    <row r="142" spans="1:26" s="26" customFormat="1" ht="12.75" x14ac:dyDescent="0.2">
      <c r="A142" s="20" t="str">
        <f>Data!B137</f>
        <v>2862</v>
      </c>
      <c r="B142" s="21" t="str">
        <f>INDEX(Data[],MATCH($A142,Data[Dist],0),MATCH(B$6,Data[#Headers],0))</f>
        <v>Hartley-Melvin-Sanborn</v>
      </c>
      <c r="C142" s="22">
        <f>INDEX(Data[],MATCH($A142,Data[Dist],0),MATCH(C$6,Data[#Headers],0))</f>
        <v>318816</v>
      </c>
      <c r="D142" s="164">
        <f>INDEX(Data[],MATCH($A142,Data[Dist],0),MATCH(D$6,Data[#Headers],0))</f>
        <v>316201</v>
      </c>
      <c r="E142" s="164">
        <f>INDEX(Data[],MATCH($A142,Data[Dist],0),MATCH(E$6,Data[#Headers],0))</f>
        <v>316202</v>
      </c>
      <c r="F142" s="164">
        <f>INDEX(Data[],MATCH($A142,Data[Dist],0),MATCH(F$6,Data[#Headers],0))</f>
        <v>316200</v>
      </c>
      <c r="G142" s="22">
        <f>INDEX(Data[],MATCH($A142,Data[Dist],0),MATCH(G$6,Data[#Headers],0))</f>
        <v>3172472</v>
      </c>
      <c r="H142" s="22">
        <f>INDEX(Data[],MATCH($A142,Data[Dist],0),MATCH(H$6,Data[#Headers],0))-G142</f>
        <v>0</v>
      </c>
      <c r="I142" s="25"/>
      <c r="J142" s="22">
        <f>INDEX(Notes!$I$2:$N$11,MATCH(Notes!$B$2,Notes!$I$2:$I$11,0),4)*$C142</f>
        <v>1275264</v>
      </c>
      <c r="K142" s="22">
        <f>INDEX(Notes!$I$2:$N$11,MATCH(Notes!$B$2,Notes!$I$2:$I$11,0),5)*$D142</f>
        <v>632402</v>
      </c>
      <c r="L142" s="22">
        <f>INDEX(Notes!$I$2:$N$11,MATCH(Notes!$B$2,Notes!$I$2:$I$11,0),6)*$E142</f>
        <v>948606</v>
      </c>
      <c r="M142" s="22">
        <f>IF(Notes!$B$2="June",'Payment Total'!$F142,0)</f>
        <v>316200</v>
      </c>
      <c r="N142" s="22">
        <f t="shared" si="14"/>
        <v>0</v>
      </c>
      <c r="P142" s="26">
        <v>28620000</v>
      </c>
      <c r="Q142" s="26">
        <v>316200</v>
      </c>
      <c r="R142" s="21" t="str">
        <f t="shared" si="15"/>
        <v>2862</v>
      </c>
      <c r="S142" s="44" t="str">
        <f t="shared" si="16"/>
        <v>2862</v>
      </c>
      <c r="T142" s="20">
        <f t="shared" si="17"/>
        <v>0</v>
      </c>
      <c r="V142" s="46" t="s">
        <v>944</v>
      </c>
      <c r="W142" s="26">
        <v>316200</v>
      </c>
      <c r="X142" s="21" t="str">
        <f t="shared" si="18"/>
        <v>2862</v>
      </c>
      <c r="Y142" s="44" t="str">
        <f t="shared" si="19"/>
        <v>2862</v>
      </c>
      <c r="Z142" s="45">
        <f t="shared" si="20"/>
        <v>0</v>
      </c>
    </row>
    <row r="143" spans="1:26" s="26" customFormat="1" ht="12.75" x14ac:dyDescent="0.2">
      <c r="A143" s="20" t="str">
        <f>Data!B138</f>
        <v>2977</v>
      </c>
      <c r="B143" s="21" t="str">
        <f>INDEX(Data[],MATCH($A143,Data[Dist],0),MATCH(B$6,Data[#Headers],0))</f>
        <v>Highland</v>
      </c>
      <c r="C143" s="22">
        <f>INDEX(Data[],MATCH($A143,Data[Dist],0),MATCH(C$6,Data[#Headers],0))</f>
        <v>331552</v>
      </c>
      <c r="D143" s="164">
        <f>INDEX(Data[],MATCH($A143,Data[Dist],0),MATCH(D$6,Data[#Headers],0))</f>
        <v>328982</v>
      </c>
      <c r="E143" s="164">
        <f>INDEX(Data[],MATCH($A143,Data[Dist],0),MATCH(E$6,Data[#Headers],0))</f>
        <v>328983</v>
      </c>
      <c r="F143" s="164">
        <f>INDEX(Data[],MATCH($A143,Data[Dist],0),MATCH(F$6,Data[#Headers],0))</f>
        <v>328981</v>
      </c>
      <c r="G143" s="22">
        <f>INDEX(Data[],MATCH($A143,Data[Dist],0),MATCH(G$6,Data[#Headers],0))</f>
        <v>3300102</v>
      </c>
      <c r="H143" s="22">
        <f>INDEX(Data[],MATCH($A143,Data[Dist],0),MATCH(H$6,Data[#Headers],0))-G143</f>
        <v>0</v>
      </c>
      <c r="I143" s="25"/>
      <c r="J143" s="22">
        <f>INDEX(Notes!$I$2:$N$11,MATCH(Notes!$B$2,Notes!$I$2:$I$11,0),4)*$C143</f>
        <v>1326208</v>
      </c>
      <c r="K143" s="22">
        <f>INDEX(Notes!$I$2:$N$11,MATCH(Notes!$B$2,Notes!$I$2:$I$11,0),5)*$D143</f>
        <v>657964</v>
      </c>
      <c r="L143" s="22">
        <f>INDEX(Notes!$I$2:$N$11,MATCH(Notes!$B$2,Notes!$I$2:$I$11,0),6)*$E143</f>
        <v>986949</v>
      </c>
      <c r="M143" s="22">
        <f>IF(Notes!$B$2="June",'Payment Total'!$F143,0)</f>
        <v>328981</v>
      </c>
      <c r="N143" s="22">
        <f t="shared" si="14"/>
        <v>0</v>
      </c>
      <c r="P143" s="26">
        <v>29770000</v>
      </c>
      <c r="Q143" s="26">
        <v>328981</v>
      </c>
      <c r="R143" s="21" t="str">
        <f t="shared" si="15"/>
        <v>2977</v>
      </c>
      <c r="S143" s="44" t="str">
        <f t="shared" si="16"/>
        <v>2977</v>
      </c>
      <c r="T143" s="20">
        <f t="shared" si="17"/>
        <v>0</v>
      </c>
      <c r="V143" s="46" t="s">
        <v>945</v>
      </c>
      <c r="W143" s="26">
        <v>328981</v>
      </c>
      <c r="X143" s="21" t="str">
        <f t="shared" si="18"/>
        <v>2977</v>
      </c>
      <c r="Y143" s="44" t="str">
        <f t="shared" si="19"/>
        <v>2977</v>
      </c>
      <c r="Z143" s="45">
        <f t="shared" si="20"/>
        <v>0</v>
      </c>
    </row>
    <row r="144" spans="1:26" s="26" customFormat="1" ht="12.75" x14ac:dyDescent="0.2">
      <c r="A144" s="20" t="str">
        <f>Data!B139</f>
        <v>2988</v>
      </c>
      <c r="B144" s="21" t="str">
        <f>INDEX(Data[],MATCH($A144,Data[Dist],0),MATCH(B$6,Data[#Headers],0))</f>
        <v>Hinton</v>
      </c>
      <c r="C144" s="22">
        <f>INDEX(Data[],MATCH($A144,Data[Dist],0),MATCH(C$6,Data[#Headers],0))</f>
        <v>294086</v>
      </c>
      <c r="D144" s="164">
        <f>INDEX(Data[],MATCH($A144,Data[Dist],0),MATCH(D$6,Data[#Headers],0))</f>
        <v>291897</v>
      </c>
      <c r="E144" s="164">
        <f>INDEX(Data[],MATCH($A144,Data[Dist],0),MATCH(E$6,Data[#Headers],0))</f>
        <v>291896</v>
      </c>
      <c r="F144" s="164">
        <f>INDEX(Data[],MATCH($A144,Data[Dist],0),MATCH(F$6,Data[#Headers],0))</f>
        <v>291897</v>
      </c>
      <c r="G144" s="22">
        <f>INDEX(Data[],MATCH($A144,Data[Dist],0),MATCH(G$6,Data[#Headers],0))</f>
        <v>2927723</v>
      </c>
      <c r="H144" s="22">
        <f>INDEX(Data[],MATCH($A144,Data[Dist],0),MATCH(H$6,Data[#Headers],0))-G144</f>
        <v>0</v>
      </c>
      <c r="I144" s="25"/>
      <c r="J144" s="22">
        <f>INDEX(Notes!$I$2:$N$11,MATCH(Notes!$B$2,Notes!$I$2:$I$11,0),4)*$C144</f>
        <v>1176344</v>
      </c>
      <c r="K144" s="22">
        <f>INDEX(Notes!$I$2:$N$11,MATCH(Notes!$B$2,Notes!$I$2:$I$11,0),5)*$D144</f>
        <v>583794</v>
      </c>
      <c r="L144" s="22">
        <f>INDEX(Notes!$I$2:$N$11,MATCH(Notes!$B$2,Notes!$I$2:$I$11,0),6)*$E144</f>
        <v>875688</v>
      </c>
      <c r="M144" s="22">
        <f>IF(Notes!$B$2="June",'Payment Total'!$F144,0)</f>
        <v>291897</v>
      </c>
      <c r="N144" s="22">
        <f t="shared" si="14"/>
        <v>0</v>
      </c>
      <c r="P144" s="26">
        <v>29880000</v>
      </c>
      <c r="Q144" s="26">
        <v>291897</v>
      </c>
      <c r="R144" s="21" t="str">
        <f t="shared" si="15"/>
        <v>2988</v>
      </c>
      <c r="S144" s="44" t="str">
        <f t="shared" si="16"/>
        <v>2988</v>
      </c>
      <c r="T144" s="20">
        <f t="shared" si="17"/>
        <v>0</v>
      </c>
      <c r="V144" s="46" t="s">
        <v>946</v>
      </c>
      <c r="W144" s="26">
        <v>291897</v>
      </c>
      <c r="X144" s="21" t="str">
        <f t="shared" si="18"/>
        <v>2988</v>
      </c>
      <c r="Y144" s="44" t="str">
        <f t="shared" si="19"/>
        <v>2988</v>
      </c>
      <c r="Z144" s="45">
        <f t="shared" si="20"/>
        <v>0</v>
      </c>
    </row>
    <row r="145" spans="1:26" s="26" customFormat="1" ht="12.75" x14ac:dyDescent="0.2">
      <c r="A145" s="20" t="str">
        <f>Data!B140</f>
        <v>3029</v>
      </c>
      <c r="B145" s="21" t="str">
        <f>INDEX(Data[],MATCH($A145,Data[Dist],0),MATCH(B$6,Data[#Headers],0))</f>
        <v>Howard-Winneshiek</v>
      </c>
      <c r="C145" s="22">
        <f>INDEX(Data[],MATCH($A145,Data[Dist],0),MATCH(C$6,Data[#Headers],0))</f>
        <v>623816</v>
      </c>
      <c r="D145" s="164">
        <f>INDEX(Data[],MATCH($A145,Data[Dist],0),MATCH(D$6,Data[#Headers],0))</f>
        <v>618986</v>
      </c>
      <c r="E145" s="164">
        <f>INDEX(Data[],MATCH($A145,Data[Dist],0),MATCH(E$6,Data[#Headers],0))</f>
        <v>618986</v>
      </c>
      <c r="F145" s="164">
        <f>INDEX(Data[],MATCH($A145,Data[Dist],0),MATCH(F$6,Data[#Headers],0))</f>
        <v>618984</v>
      </c>
      <c r="G145" s="22">
        <f>INDEX(Data[],MATCH($A145,Data[Dist],0),MATCH(G$6,Data[#Headers],0))</f>
        <v>6209178</v>
      </c>
      <c r="H145" s="22">
        <f>INDEX(Data[],MATCH($A145,Data[Dist],0),MATCH(H$6,Data[#Headers],0))-G145</f>
        <v>0</v>
      </c>
      <c r="I145" s="25"/>
      <c r="J145" s="22">
        <f>INDEX(Notes!$I$2:$N$11,MATCH(Notes!$B$2,Notes!$I$2:$I$11,0),4)*$C145</f>
        <v>2495264</v>
      </c>
      <c r="K145" s="22">
        <f>INDEX(Notes!$I$2:$N$11,MATCH(Notes!$B$2,Notes!$I$2:$I$11,0),5)*$D145</f>
        <v>1237972</v>
      </c>
      <c r="L145" s="22">
        <f>INDEX(Notes!$I$2:$N$11,MATCH(Notes!$B$2,Notes!$I$2:$I$11,0),6)*$E145</f>
        <v>1856958</v>
      </c>
      <c r="M145" s="22">
        <f>IF(Notes!$B$2="June",'Payment Total'!$F145,0)</f>
        <v>618984</v>
      </c>
      <c r="N145" s="22">
        <f t="shared" si="14"/>
        <v>0</v>
      </c>
      <c r="P145" s="26">
        <v>30290000</v>
      </c>
      <c r="Q145" s="26">
        <v>618984</v>
      </c>
      <c r="R145" s="21" t="str">
        <f t="shared" si="15"/>
        <v>3029</v>
      </c>
      <c r="S145" s="44" t="str">
        <f t="shared" si="16"/>
        <v>3029</v>
      </c>
      <c r="T145" s="20">
        <f t="shared" si="17"/>
        <v>0</v>
      </c>
      <c r="V145" s="46" t="s">
        <v>948</v>
      </c>
      <c r="W145" s="26">
        <v>618984</v>
      </c>
      <c r="X145" s="21" t="str">
        <f t="shared" si="18"/>
        <v>3029</v>
      </c>
      <c r="Y145" s="44" t="str">
        <f t="shared" si="19"/>
        <v>3029</v>
      </c>
      <c r="Z145" s="45">
        <f t="shared" si="20"/>
        <v>0</v>
      </c>
    </row>
    <row r="146" spans="1:26" s="26" customFormat="1" ht="12.75" x14ac:dyDescent="0.2">
      <c r="A146" s="20" t="str">
        <f>Data!B141</f>
        <v>3033</v>
      </c>
      <c r="B146" s="21" t="str">
        <f>INDEX(Data[],MATCH($A146,Data[Dist],0),MATCH(B$6,Data[#Headers],0))</f>
        <v>Hubbard-Radcliffe</v>
      </c>
      <c r="C146" s="22">
        <f>INDEX(Data[],MATCH($A146,Data[Dist],0),MATCH(C$6,Data[#Headers],0))</f>
        <v>193181</v>
      </c>
      <c r="D146" s="164">
        <f>INDEX(Data[],MATCH($A146,Data[Dist],0),MATCH(D$6,Data[#Headers],0))</f>
        <v>191331</v>
      </c>
      <c r="E146" s="164">
        <f>INDEX(Data[],MATCH($A146,Data[Dist],0),MATCH(E$6,Data[#Headers],0))</f>
        <v>191332</v>
      </c>
      <c r="F146" s="164">
        <f>INDEX(Data[],MATCH($A146,Data[Dist],0),MATCH(F$6,Data[#Headers],0))</f>
        <v>191330</v>
      </c>
      <c r="G146" s="22">
        <f>INDEX(Data[],MATCH($A146,Data[Dist],0),MATCH(G$6,Data[#Headers],0))</f>
        <v>1920712</v>
      </c>
      <c r="H146" s="22">
        <f>INDEX(Data[],MATCH($A146,Data[Dist],0),MATCH(H$6,Data[#Headers],0))-G146</f>
        <v>0</v>
      </c>
      <c r="I146" s="25"/>
      <c r="J146" s="22">
        <f>INDEX(Notes!$I$2:$N$11,MATCH(Notes!$B$2,Notes!$I$2:$I$11,0),4)*$C146</f>
        <v>772724</v>
      </c>
      <c r="K146" s="22">
        <f>INDEX(Notes!$I$2:$N$11,MATCH(Notes!$B$2,Notes!$I$2:$I$11,0),5)*$D146</f>
        <v>382662</v>
      </c>
      <c r="L146" s="22">
        <f>INDEX(Notes!$I$2:$N$11,MATCH(Notes!$B$2,Notes!$I$2:$I$11,0),6)*$E146</f>
        <v>573996</v>
      </c>
      <c r="M146" s="22">
        <f>IF(Notes!$B$2="June",'Payment Total'!$F146,0)</f>
        <v>191330</v>
      </c>
      <c r="N146" s="22">
        <f t="shared" si="14"/>
        <v>0</v>
      </c>
      <c r="P146" s="26">
        <v>30330000</v>
      </c>
      <c r="Q146" s="26">
        <v>191330</v>
      </c>
      <c r="R146" s="21" t="str">
        <f t="shared" si="15"/>
        <v>3033</v>
      </c>
      <c r="S146" s="44" t="str">
        <f t="shared" si="16"/>
        <v>3033</v>
      </c>
      <c r="T146" s="20">
        <f t="shared" si="17"/>
        <v>0</v>
      </c>
      <c r="V146" s="46" t="s">
        <v>949</v>
      </c>
      <c r="W146" s="26">
        <v>191330</v>
      </c>
      <c r="X146" s="21" t="str">
        <f t="shared" si="18"/>
        <v>3033</v>
      </c>
      <c r="Y146" s="44" t="str">
        <f t="shared" si="19"/>
        <v>3033</v>
      </c>
      <c r="Z146" s="45">
        <f t="shared" si="20"/>
        <v>0</v>
      </c>
    </row>
    <row r="147" spans="1:26" s="26" customFormat="1" ht="12.75" x14ac:dyDescent="0.2">
      <c r="A147" s="20" t="str">
        <f>Data!B142</f>
        <v>3042</v>
      </c>
      <c r="B147" s="21" t="str">
        <f>INDEX(Data[],MATCH($A147,Data[Dist],0),MATCH(B$6,Data[#Headers],0))</f>
        <v>Hudson</v>
      </c>
      <c r="C147" s="22">
        <f>INDEX(Data[],MATCH($A147,Data[Dist],0),MATCH(C$6,Data[#Headers],0))</f>
        <v>440178</v>
      </c>
      <c r="D147" s="164">
        <f>INDEX(Data[],MATCH($A147,Data[Dist],0),MATCH(D$6,Data[#Headers],0))</f>
        <v>437360</v>
      </c>
      <c r="E147" s="164">
        <f>INDEX(Data[],MATCH($A147,Data[Dist],0),MATCH(E$6,Data[#Headers],0))</f>
        <v>437360</v>
      </c>
      <c r="F147" s="164">
        <f>INDEX(Data[],MATCH($A147,Data[Dist],0),MATCH(F$6,Data[#Headers],0))</f>
        <v>437361</v>
      </c>
      <c r="G147" s="22">
        <f>INDEX(Data[],MATCH($A147,Data[Dist],0),MATCH(G$6,Data[#Headers],0))</f>
        <v>4384873</v>
      </c>
      <c r="H147" s="22">
        <f>INDEX(Data[],MATCH($A147,Data[Dist],0),MATCH(H$6,Data[#Headers],0))-G147</f>
        <v>0</v>
      </c>
      <c r="I147" s="25"/>
      <c r="J147" s="22">
        <f>INDEX(Notes!$I$2:$N$11,MATCH(Notes!$B$2,Notes!$I$2:$I$11,0),4)*$C147</f>
        <v>1760712</v>
      </c>
      <c r="K147" s="22">
        <f>INDEX(Notes!$I$2:$N$11,MATCH(Notes!$B$2,Notes!$I$2:$I$11,0),5)*$D147</f>
        <v>874720</v>
      </c>
      <c r="L147" s="22">
        <f>INDEX(Notes!$I$2:$N$11,MATCH(Notes!$B$2,Notes!$I$2:$I$11,0),6)*$E147</f>
        <v>1312080</v>
      </c>
      <c r="M147" s="22">
        <f>IF(Notes!$B$2="June",'Payment Total'!$F147,0)</f>
        <v>437361</v>
      </c>
      <c r="N147" s="22">
        <f t="shared" si="14"/>
        <v>0</v>
      </c>
      <c r="P147" s="26">
        <v>30420000</v>
      </c>
      <c r="Q147" s="26">
        <v>437361</v>
      </c>
      <c r="R147" s="21" t="str">
        <f t="shared" si="15"/>
        <v>3042</v>
      </c>
      <c r="S147" s="44" t="str">
        <f t="shared" si="16"/>
        <v>3042</v>
      </c>
      <c r="T147" s="20">
        <f t="shared" si="17"/>
        <v>0</v>
      </c>
      <c r="V147" s="46" t="s">
        <v>950</v>
      </c>
      <c r="W147" s="26">
        <v>437361</v>
      </c>
      <c r="X147" s="21" t="str">
        <f t="shared" si="18"/>
        <v>3042</v>
      </c>
      <c r="Y147" s="44" t="str">
        <f t="shared" si="19"/>
        <v>3042</v>
      </c>
      <c r="Z147" s="45">
        <f t="shared" si="20"/>
        <v>0</v>
      </c>
    </row>
    <row r="148" spans="1:26" s="26" customFormat="1" ht="12.75" x14ac:dyDescent="0.2">
      <c r="A148" s="20" t="str">
        <f>Data!B143</f>
        <v>3060</v>
      </c>
      <c r="B148" s="21" t="str">
        <f>INDEX(Data[],MATCH($A148,Data[Dist],0),MATCH(B$6,Data[#Headers],0))</f>
        <v>Humboldt</v>
      </c>
      <c r="C148" s="22">
        <f>INDEX(Data[],MATCH($A148,Data[Dist],0),MATCH(C$6,Data[#Headers],0))</f>
        <v>707014</v>
      </c>
      <c r="D148" s="164">
        <f>INDEX(Data[],MATCH($A148,Data[Dist],0),MATCH(D$6,Data[#Headers],0))</f>
        <v>702005</v>
      </c>
      <c r="E148" s="164">
        <f>INDEX(Data[],MATCH($A148,Data[Dist],0),MATCH(E$6,Data[#Headers],0))</f>
        <v>702005</v>
      </c>
      <c r="F148" s="164">
        <f>INDEX(Data[],MATCH($A148,Data[Dist],0),MATCH(F$6,Data[#Headers],0))</f>
        <v>702003</v>
      </c>
      <c r="G148" s="22">
        <f>INDEX(Data[],MATCH($A148,Data[Dist],0),MATCH(G$6,Data[#Headers],0))</f>
        <v>7040084</v>
      </c>
      <c r="H148" s="22">
        <f>INDEX(Data[],MATCH($A148,Data[Dist],0),MATCH(H$6,Data[#Headers],0))-G148</f>
        <v>0</v>
      </c>
      <c r="I148" s="25"/>
      <c r="J148" s="22">
        <f>INDEX(Notes!$I$2:$N$11,MATCH(Notes!$B$2,Notes!$I$2:$I$11,0),4)*$C148</f>
        <v>2828056</v>
      </c>
      <c r="K148" s="22">
        <f>INDEX(Notes!$I$2:$N$11,MATCH(Notes!$B$2,Notes!$I$2:$I$11,0),5)*$D148</f>
        <v>1404010</v>
      </c>
      <c r="L148" s="22">
        <f>INDEX(Notes!$I$2:$N$11,MATCH(Notes!$B$2,Notes!$I$2:$I$11,0),6)*$E148</f>
        <v>2106015</v>
      </c>
      <c r="M148" s="22">
        <f>IF(Notes!$B$2="June",'Payment Total'!$F148,0)</f>
        <v>702003</v>
      </c>
      <c r="N148" s="22">
        <f t="shared" si="14"/>
        <v>0</v>
      </c>
      <c r="P148" s="26">
        <v>30600000</v>
      </c>
      <c r="Q148" s="26">
        <v>702003</v>
      </c>
      <c r="R148" s="21" t="str">
        <f t="shared" si="15"/>
        <v>3060</v>
      </c>
      <c r="S148" s="44" t="str">
        <f t="shared" si="16"/>
        <v>3060</v>
      </c>
      <c r="T148" s="20">
        <f t="shared" si="17"/>
        <v>0</v>
      </c>
      <c r="V148" s="46" t="s">
        <v>951</v>
      </c>
      <c r="W148" s="26">
        <v>702003</v>
      </c>
      <c r="X148" s="21" t="str">
        <f t="shared" si="18"/>
        <v>3060</v>
      </c>
      <c r="Y148" s="44" t="str">
        <f t="shared" si="19"/>
        <v>3060</v>
      </c>
      <c r="Z148" s="45">
        <f t="shared" si="20"/>
        <v>0</v>
      </c>
    </row>
    <row r="149" spans="1:26" s="26" customFormat="1" ht="12.75" x14ac:dyDescent="0.2">
      <c r="A149" s="20" t="str">
        <f>Data!B144</f>
        <v>3105</v>
      </c>
      <c r="B149" s="21" t="str">
        <f>INDEX(Data[],MATCH($A149,Data[Dist],0),MATCH(B$6,Data[#Headers],0))</f>
        <v>Independence</v>
      </c>
      <c r="C149" s="22">
        <f>INDEX(Data[],MATCH($A149,Data[Dist],0),MATCH(C$6,Data[#Headers],0))</f>
        <v>908642</v>
      </c>
      <c r="D149" s="164">
        <f>INDEX(Data[],MATCH($A149,Data[Dist],0),MATCH(D$6,Data[#Headers],0))</f>
        <v>902686</v>
      </c>
      <c r="E149" s="164">
        <f>INDEX(Data[],MATCH($A149,Data[Dist],0),MATCH(E$6,Data[#Headers],0))</f>
        <v>902686</v>
      </c>
      <c r="F149" s="164">
        <f>INDEX(Data[],MATCH($A149,Data[Dist],0),MATCH(F$6,Data[#Headers],0))</f>
        <v>902686</v>
      </c>
      <c r="G149" s="22">
        <f>INDEX(Data[],MATCH($A149,Data[Dist],0),MATCH(G$6,Data[#Headers],0))</f>
        <v>9050684</v>
      </c>
      <c r="H149" s="22">
        <f>INDEX(Data[],MATCH($A149,Data[Dist],0),MATCH(H$6,Data[#Headers],0))-G149</f>
        <v>0</v>
      </c>
      <c r="I149" s="25"/>
      <c r="J149" s="22">
        <f>INDEX(Notes!$I$2:$N$11,MATCH(Notes!$B$2,Notes!$I$2:$I$11,0),4)*$C149</f>
        <v>3634568</v>
      </c>
      <c r="K149" s="22">
        <f>INDEX(Notes!$I$2:$N$11,MATCH(Notes!$B$2,Notes!$I$2:$I$11,0),5)*$D149</f>
        <v>1805372</v>
      </c>
      <c r="L149" s="22">
        <f>INDEX(Notes!$I$2:$N$11,MATCH(Notes!$B$2,Notes!$I$2:$I$11,0),6)*$E149</f>
        <v>2708058</v>
      </c>
      <c r="M149" s="22">
        <f>IF(Notes!$B$2="June",'Payment Total'!$F149,0)</f>
        <v>902686</v>
      </c>
      <c r="N149" s="22">
        <f t="shared" si="14"/>
        <v>0</v>
      </c>
      <c r="P149" s="26">
        <v>31050000</v>
      </c>
      <c r="Q149" s="26">
        <v>902686</v>
      </c>
      <c r="R149" s="21" t="str">
        <f t="shared" si="15"/>
        <v>3105</v>
      </c>
      <c r="S149" s="44" t="str">
        <f t="shared" si="16"/>
        <v>3105</v>
      </c>
      <c r="T149" s="20">
        <f t="shared" si="17"/>
        <v>0</v>
      </c>
      <c r="V149" s="46" t="s">
        <v>953</v>
      </c>
      <c r="W149" s="26">
        <v>902686</v>
      </c>
      <c r="X149" s="21" t="str">
        <f t="shared" si="18"/>
        <v>3105</v>
      </c>
      <c r="Y149" s="44" t="str">
        <f t="shared" si="19"/>
        <v>3105</v>
      </c>
      <c r="Z149" s="45">
        <f t="shared" si="20"/>
        <v>0</v>
      </c>
    </row>
    <row r="150" spans="1:26" s="26" customFormat="1" ht="12.75" x14ac:dyDescent="0.2">
      <c r="A150" s="20" t="str">
        <f>Data!B145</f>
        <v>3114</v>
      </c>
      <c r="B150" s="21" t="str">
        <f>INDEX(Data[],MATCH($A150,Data[Dist],0),MATCH(B$6,Data[#Headers],0))</f>
        <v>Indianola</v>
      </c>
      <c r="C150" s="22">
        <f>INDEX(Data[],MATCH($A150,Data[Dist],0),MATCH(C$6,Data[#Headers],0))</f>
        <v>2168767</v>
      </c>
      <c r="D150" s="164">
        <f>INDEX(Data[],MATCH($A150,Data[Dist],0),MATCH(D$6,Data[#Headers],0))</f>
        <v>2154525</v>
      </c>
      <c r="E150" s="164">
        <f>INDEX(Data[],MATCH($A150,Data[Dist],0),MATCH(E$6,Data[#Headers],0))</f>
        <v>2154525</v>
      </c>
      <c r="F150" s="164">
        <f>INDEX(Data[],MATCH($A150,Data[Dist],0),MATCH(F$6,Data[#Headers],0))</f>
        <v>2154525</v>
      </c>
      <c r="G150" s="22">
        <f>INDEX(Data[],MATCH($A150,Data[Dist],0),MATCH(G$6,Data[#Headers],0))</f>
        <v>21602218</v>
      </c>
      <c r="H150" s="22">
        <f>INDEX(Data[],MATCH($A150,Data[Dist],0),MATCH(H$6,Data[#Headers],0))-G150</f>
        <v>0</v>
      </c>
      <c r="I150" s="25"/>
      <c r="J150" s="22">
        <f>INDEX(Notes!$I$2:$N$11,MATCH(Notes!$B$2,Notes!$I$2:$I$11,0),4)*$C150</f>
        <v>8675068</v>
      </c>
      <c r="K150" s="22">
        <f>INDEX(Notes!$I$2:$N$11,MATCH(Notes!$B$2,Notes!$I$2:$I$11,0),5)*$D150</f>
        <v>4309050</v>
      </c>
      <c r="L150" s="22">
        <f>INDEX(Notes!$I$2:$N$11,MATCH(Notes!$B$2,Notes!$I$2:$I$11,0),6)*$E150</f>
        <v>6463575</v>
      </c>
      <c r="M150" s="22">
        <f>IF(Notes!$B$2="June",'Payment Total'!$F150,0)</f>
        <v>2154525</v>
      </c>
      <c r="N150" s="22">
        <f t="shared" si="14"/>
        <v>0</v>
      </c>
      <c r="P150" s="26">
        <v>31140000</v>
      </c>
      <c r="Q150" s="26">
        <v>2154525</v>
      </c>
      <c r="R150" s="21" t="str">
        <f t="shared" si="15"/>
        <v>3114</v>
      </c>
      <c r="S150" s="44" t="str">
        <f t="shared" si="16"/>
        <v>3114</v>
      </c>
      <c r="T150" s="20">
        <f t="shared" si="17"/>
        <v>0</v>
      </c>
      <c r="V150" s="46" t="s">
        <v>954</v>
      </c>
      <c r="W150" s="26">
        <v>2154525</v>
      </c>
      <c r="X150" s="21" t="str">
        <f t="shared" si="18"/>
        <v>3114</v>
      </c>
      <c r="Y150" s="44" t="str">
        <f t="shared" si="19"/>
        <v>3114</v>
      </c>
      <c r="Z150" s="45">
        <f t="shared" si="20"/>
        <v>0</v>
      </c>
    </row>
    <row r="151" spans="1:26" s="26" customFormat="1" ht="12.75" x14ac:dyDescent="0.2">
      <c r="A151" s="20" t="str">
        <f>Data!B146</f>
        <v>3119</v>
      </c>
      <c r="B151" s="21" t="str">
        <f>INDEX(Data[],MATCH($A151,Data[Dist],0),MATCH(B$6,Data[#Headers],0))</f>
        <v>Interstate 35</v>
      </c>
      <c r="C151" s="22">
        <f>INDEX(Data[],MATCH($A151,Data[Dist],0),MATCH(C$6,Data[#Headers],0))</f>
        <v>545145</v>
      </c>
      <c r="D151" s="164">
        <f>INDEX(Data[],MATCH($A151,Data[Dist],0),MATCH(D$6,Data[#Headers],0))</f>
        <v>541577</v>
      </c>
      <c r="E151" s="164">
        <f>INDEX(Data[],MATCH($A151,Data[Dist],0),MATCH(E$6,Data[#Headers],0))</f>
        <v>541577</v>
      </c>
      <c r="F151" s="164">
        <f>INDEX(Data[],MATCH($A151,Data[Dist],0),MATCH(F$6,Data[#Headers],0))</f>
        <v>541575</v>
      </c>
      <c r="G151" s="22">
        <f>INDEX(Data[],MATCH($A151,Data[Dist],0),MATCH(G$6,Data[#Headers],0))</f>
        <v>5430040</v>
      </c>
      <c r="H151" s="22">
        <f>INDEX(Data[],MATCH($A151,Data[Dist],0),MATCH(H$6,Data[#Headers],0))-G151</f>
        <v>0</v>
      </c>
      <c r="I151" s="25"/>
      <c r="J151" s="22">
        <f>INDEX(Notes!$I$2:$N$11,MATCH(Notes!$B$2,Notes!$I$2:$I$11,0),4)*$C151</f>
        <v>2180580</v>
      </c>
      <c r="K151" s="22">
        <f>INDEX(Notes!$I$2:$N$11,MATCH(Notes!$B$2,Notes!$I$2:$I$11,0),5)*$D151</f>
        <v>1083154</v>
      </c>
      <c r="L151" s="22">
        <f>INDEX(Notes!$I$2:$N$11,MATCH(Notes!$B$2,Notes!$I$2:$I$11,0),6)*$E151</f>
        <v>1624731</v>
      </c>
      <c r="M151" s="22">
        <f>IF(Notes!$B$2="June",'Payment Total'!$F151,0)</f>
        <v>541575</v>
      </c>
      <c r="N151" s="22">
        <f t="shared" si="14"/>
        <v>0</v>
      </c>
      <c r="P151" s="26">
        <v>31190000</v>
      </c>
      <c r="Q151" s="26">
        <v>541575</v>
      </c>
      <c r="R151" s="21" t="str">
        <f t="shared" si="15"/>
        <v>3119</v>
      </c>
      <c r="S151" s="44" t="str">
        <f t="shared" si="16"/>
        <v>3119</v>
      </c>
      <c r="T151" s="20">
        <f t="shared" si="17"/>
        <v>0</v>
      </c>
      <c r="V151" s="46" t="s">
        <v>955</v>
      </c>
      <c r="W151" s="26">
        <v>541575</v>
      </c>
      <c r="X151" s="21" t="str">
        <f t="shared" si="18"/>
        <v>3119</v>
      </c>
      <c r="Y151" s="44" t="str">
        <f t="shared" si="19"/>
        <v>3119</v>
      </c>
      <c r="Z151" s="45">
        <f t="shared" si="20"/>
        <v>0</v>
      </c>
    </row>
    <row r="152" spans="1:26" s="26" customFormat="1" ht="12.75" x14ac:dyDescent="0.2">
      <c r="A152" s="20" t="str">
        <f>Data!B147</f>
        <v>3141</v>
      </c>
      <c r="B152" s="21" t="str">
        <f>INDEX(Data[],MATCH($A152,Data[Dist],0),MATCH(B$6,Data[#Headers],0))</f>
        <v>Iowa City</v>
      </c>
      <c r="C152" s="22">
        <f>INDEX(Data[],MATCH($A152,Data[Dist],0),MATCH(C$6,Data[#Headers],0))</f>
        <v>7501564</v>
      </c>
      <c r="D152" s="164">
        <f>INDEX(Data[],MATCH($A152,Data[Dist],0),MATCH(D$6,Data[#Headers],0))</f>
        <v>7442457</v>
      </c>
      <c r="E152" s="164">
        <f>INDEX(Data[],MATCH($A152,Data[Dist],0),MATCH(E$6,Data[#Headers],0))</f>
        <v>7442457</v>
      </c>
      <c r="F152" s="164">
        <f>INDEX(Data[],MATCH($A152,Data[Dist],0),MATCH(F$6,Data[#Headers],0))</f>
        <v>7442457</v>
      </c>
      <c r="G152" s="22">
        <f>INDEX(Data[],MATCH($A152,Data[Dist],0),MATCH(G$6,Data[#Headers],0))</f>
        <v>74660998</v>
      </c>
      <c r="H152" s="22">
        <f>INDEX(Data[],MATCH($A152,Data[Dist],0),MATCH(H$6,Data[#Headers],0))-G152</f>
        <v>0</v>
      </c>
      <c r="I152" s="25"/>
      <c r="J152" s="22">
        <f>INDEX(Notes!$I$2:$N$11,MATCH(Notes!$B$2,Notes!$I$2:$I$11,0),4)*$C152</f>
        <v>30006256</v>
      </c>
      <c r="K152" s="22">
        <f>INDEX(Notes!$I$2:$N$11,MATCH(Notes!$B$2,Notes!$I$2:$I$11,0),5)*$D152</f>
        <v>14884914</v>
      </c>
      <c r="L152" s="22">
        <f>INDEX(Notes!$I$2:$N$11,MATCH(Notes!$B$2,Notes!$I$2:$I$11,0),6)*$E152</f>
        <v>22327371</v>
      </c>
      <c r="M152" s="22">
        <f>IF(Notes!$B$2="June",'Payment Total'!$F152,0)</f>
        <v>7442457</v>
      </c>
      <c r="N152" s="22">
        <f t="shared" si="14"/>
        <v>0</v>
      </c>
      <c r="P152" s="26">
        <v>31410000</v>
      </c>
      <c r="Q152" s="26">
        <v>7442457</v>
      </c>
      <c r="R152" s="21" t="str">
        <f t="shared" si="15"/>
        <v>3141</v>
      </c>
      <c r="S152" s="44" t="str">
        <f t="shared" si="16"/>
        <v>3141</v>
      </c>
      <c r="T152" s="20">
        <f t="shared" si="17"/>
        <v>0</v>
      </c>
      <c r="V152" s="46" t="s">
        <v>956</v>
      </c>
      <c r="W152" s="26">
        <v>7442457</v>
      </c>
      <c r="X152" s="21" t="str">
        <f t="shared" si="18"/>
        <v>3141</v>
      </c>
      <c r="Y152" s="44" t="str">
        <f t="shared" si="19"/>
        <v>3141</v>
      </c>
      <c r="Z152" s="45">
        <f t="shared" si="20"/>
        <v>0</v>
      </c>
    </row>
    <row r="153" spans="1:26" s="26" customFormat="1" ht="12.75" x14ac:dyDescent="0.2">
      <c r="A153" s="20" t="str">
        <f>Data!B148</f>
        <v>3150</v>
      </c>
      <c r="B153" s="21" t="str">
        <f>INDEX(Data[],MATCH($A153,Data[Dist],0),MATCH(B$6,Data[#Headers],0))</f>
        <v>Iowa Falls</v>
      </c>
      <c r="C153" s="22">
        <f>INDEX(Data[],MATCH($A153,Data[Dist],0),MATCH(C$6,Data[#Headers],0))</f>
        <v>689142</v>
      </c>
      <c r="D153" s="164">
        <f>INDEX(Data[],MATCH($A153,Data[Dist],0),MATCH(D$6,Data[#Headers],0))</f>
        <v>684574</v>
      </c>
      <c r="E153" s="164">
        <f>INDEX(Data[],MATCH($A153,Data[Dist],0),MATCH(E$6,Data[#Headers],0))</f>
        <v>684574</v>
      </c>
      <c r="F153" s="164">
        <f>INDEX(Data[],MATCH($A153,Data[Dist],0),MATCH(F$6,Data[#Headers],0))</f>
        <v>684573</v>
      </c>
      <c r="G153" s="22">
        <f>INDEX(Data[],MATCH($A153,Data[Dist],0),MATCH(G$6,Data[#Headers],0))</f>
        <v>6864011</v>
      </c>
      <c r="H153" s="22">
        <f>INDEX(Data[],MATCH($A153,Data[Dist],0),MATCH(H$6,Data[#Headers],0))-G153</f>
        <v>0</v>
      </c>
      <c r="I153" s="25"/>
      <c r="J153" s="22">
        <f>INDEX(Notes!$I$2:$N$11,MATCH(Notes!$B$2,Notes!$I$2:$I$11,0),4)*$C153</f>
        <v>2756568</v>
      </c>
      <c r="K153" s="22">
        <f>INDEX(Notes!$I$2:$N$11,MATCH(Notes!$B$2,Notes!$I$2:$I$11,0),5)*$D153</f>
        <v>1369148</v>
      </c>
      <c r="L153" s="22">
        <f>INDEX(Notes!$I$2:$N$11,MATCH(Notes!$B$2,Notes!$I$2:$I$11,0),6)*$E153</f>
        <v>2053722</v>
      </c>
      <c r="M153" s="22">
        <f>IF(Notes!$B$2="June",'Payment Total'!$F153,0)</f>
        <v>684573</v>
      </c>
      <c r="N153" s="22">
        <f t="shared" si="14"/>
        <v>0</v>
      </c>
      <c r="P153" s="26">
        <v>31500000</v>
      </c>
      <c r="Q153" s="26">
        <v>684573</v>
      </c>
      <c r="R153" s="21" t="str">
        <f t="shared" si="15"/>
        <v>3150</v>
      </c>
      <c r="S153" s="44" t="str">
        <f t="shared" si="16"/>
        <v>3150</v>
      </c>
      <c r="T153" s="20">
        <f t="shared" si="17"/>
        <v>0</v>
      </c>
      <c r="V153" s="46" t="s">
        <v>957</v>
      </c>
      <c r="W153" s="26">
        <v>684573</v>
      </c>
      <c r="X153" s="21" t="str">
        <f t="shared" si="18"/>
        <v>3150</v>
      </c>
      <c r="Y153" s="44" t="str">
        <f t="shared" si="19"/>
        <v>3150</v>
      </c>
      <c r="Z153" s="45">
        <f t="shared" si="20"/>
        <v>0</v>
      </c>
    </row>
    <row r="154" spans="1:26" s="26" customFormat="1" ht="12.75" x14ac:dyDescent="0.2">
      <c r="A154" s="20" t="str">
        <f>Data!B149</f>
        <v>3154</v>
      </c>
      <c r="B154" s="21" t="str">
        <f>INDEX(Data[],MATCH($A154,Data[Dist],0),MATCH(B$6,Data[#Headers],0))</f>
        <v>Iowa Valley</v>
      </c>
      <c r="C154" s="22">
        <f>INDEX(Data[],MATCH($A154,Data[Dist],0),MATCH(C$6,Data[#Headers],0))</f>
        <v>340516</v>
      </c>
      <c r="D154" s="164">
        <f>INDEX(Data[],MATCH($A154,Data[Dist],0),MATCH(D$6,Data[#Headers],0))</f>
        <v>338249</v>
      </c>
      <c r="E154" s="164">
        <f>INDEX(Data[],MATCH($A154,Data[Dist],0),MATCH(E$6,Data[#Headers],0))</f>
        <v>338249</v>
      </c>
      <c r="F154" s="164">
        <f>INDEX(Data[],MATCH($A154,Data[Dist],0),MATCH(F$6,Data[#Headers],0))</f>
        <v>338249</v>
      </c>
      <c r="G154" s="22">
        <f>INDEX(Data[],MATCH($A154,Data[Dist],0),MATCH(G$6,Data[#Headers],0))</f>
        <v>3391558</v>
      </c>
      <c r="H154" s="22">
        <f>INDEX(Data[],MATCH($A154,Data[Dist],0),MATCH(H$6,Data[#Headers],0))-G154</f>
        <v>0</v>
      </c>
      <c r="I154" s="25"/>
      <c r="J154" s="22">
        <f>INDEX(Notes!$I$2:$N$11,MATCH(Notes!$B$2,Notes!$I$2:$I$11,0),4)*$C154</f>
        <v>1362064</v>
      </c>
      <c r="K154" s="22">
        <f>INDEX(Notes!$I$2:$N$11,MATCH(Notes!$B$2,Notes!$I$2:$I$11,0),5)*$D154</f>
        <v>676498</v>
      </c>
      <c r="L154" s="22">
        <f>INDEX(Notes!$I$2:$N$11,MATCH(Notes!$B$2,Notes!$I$2:$I$11,0),6)*$E154</f>
        <v>1014747</v>
      </c>
      <c r="M154" s="22">
        <f>IF(Notes!$B$2="June",'Payment Total'!$F154,0)</f>
        <v>338249</v>
      </c>
      <c r="N154" s="22">
        <f t="shared" si="14"/>
        <v>0</v>
      </c>
      <c r="P154" s="26">
        <v>31540000</v>
      </c>
      <c r="Q154" s="26">
        <v>338249</v>
      </c>
      <c r="R154" s="21" t="str">
        <f t="shared" si="15"/>
        <v>3154</v>
      </c>
      <c r="S154" s="44" t="str">
        <f t="shared" si="16"/>
        <v>3154</v>
      </c>
      <c r="T154" s="20">
        <f t="shared" si="17"/>
        <v>0</v>
      </c>
      <c r="V154" s="46" t="s">
        <v>958</v>
      </c>
      <c r="W154" s="26">
        <v>338249</v>
      </c>
      <c r="X154" s="21" t="str">
        <f t="shared" si="18"/>
        <v>3154</v>
      </c>
      <c r="Y154" s="44" t="str">
        <f t="shared" si="19"/>
        <v>3154</v>
      </c>
      <c r="Z154" s="45">
        <f t="shared" si="20"/>
        <v>0</v>
      </c>
    </row>
    <row r="155" spans="1:26" s="26" customFormat="1" ht="12.75" x14ac:dyDescent="0.2">
      <c r="A155" s="20" t="str">
        <f>Data!B150</f>
        <v>3168</v>
      </c>
      <c r="B155" s="21" t="str">
        <f>INDEX(Data[],MATCH($A155,Data[Dist],0),MATCH(B$6,Data[#Headers],0))</f>
        <v>IKM-Manning</v>
      </c>
      <c r="C155" s="22">
        <f>INDEX(Data[],MATCH($A155,Data[Dist],0),MATCH(C$6,Data[#Headers],0))</f>
        <v>356132</v>
      </c>
      <c r="D155" s="164">
        <f>INDEX(Data[],MATCH($A155,Data[Dist],0),MATCH(D$6,Data[#Headers],0))</f>
        <v>353302</v>
      </c>
      <c r="E155" s="164">
        <f>INDEX(Data[],MATCH($A155,Data[Dist],0),MATCH(E$6,Data[#Headers],0))</f>
        <v>353303</v>
      </c>
      <c r="F155" s="164">
        <f>INDEX(Data[],MATCH($A155,Data[Dist],0),MATCH(F$6,Data[#Headers],0))</f>
        <v>353301</v>
      </c>
      <c r="G155" s="22">
        <f>INDEX(Data[],MATCH($A155,Data[Dist],0),MATCH(G$6,Data[#Headers],0))</f>
        <v>3544342</v>
      </c>
      <c r="H155" s="22">
        <f>INDEX(Data[],MATCH($A155,Data[Dist],0),MATCH(H$6,Data[#Headers],0))-G155</f>
        <v>0</v>
      </c>
      <c r="I155" s="25"/>
      <c r="J155" s="22">
        <f>INDEX(Notes!$I$2:$N$11,MATCH(Notes!$B$2,Notes!$I$2:$I$11,0),4)*$C155</f>
        <v>1424528</v>
      </c>
      <c r="K155" s="22">
        <f>INDEX(Notes!$I$2:$N$11,MATCH(Notes!$B$2,Notes!$I$2:$I$11,0),5)*$D155</f>
        <v>706604</v>
      </c>
      <c r="L155" s="22">
        <f>INDEX(Notes!$I$2:$N$11,MATCH(Notes!$B$2,Notes!$I$2:$I$11,0),6)*$E155</f>
        <v>1059909</v>
      </c>
      <c r="M155" s="22">
        <f>IF(Notes!$B$2="June",'Payment Total'!$F155,0)</f>
        <v>353301</v>
      </c>
      <c r="N155" s="22">
        <f t="shared" si="14"/>
        <v>0</v>
      </c>
      <c r="P155" s="26">
        <v>31680000</v>
      </c>
      <c r="Q155" s="26">
        <v>353301</v>
      </c>
      <c r="R155" s="21" t="str">
        <f t="shared" si="15"/>
        <v>3168</v>
      </c>
      <c r="S155" s="44" t="str">
        <f t="shared" si="16"/>
        <v>3168</v>
      </c>
      <c r="T155" s="20">
        <f t="shared" si="17"/>
        <v>0</v>
      </c>
      <c r="V155" s="46" t="s">
        <v>952</v>
      </c>
      <c r="W155" s="26">
        <v>353301</v>
      </c>
      <c r="X155" s="21" t="str">
        <f t="shared" si="18"/>
        <v>3168</v>
      </c>
      <c r="Y155" s="44" t="str">
        <f t="shared" si="19"/>
        <v>3168</v>
      </c>
      <c r="Z155" s="45">
        <f t="shared" si="20"/>
        <v>0</v>
      </c>
    </row>
    <row r="156" spans="1:26" s="26" customFormat="1" ht="12.75" x14ac:dyDescent="0.2">
      <c r="A156" s="20" t="str">
        <f>Data!B151</f>
        <v>3186</v>
      </c>
      <c r="B156" s="21" t="str">
        <f>INDEX(Data[],MATCH($A156,Data[Dist],0),MATCH(B$6,Data[#Headers],0))</f>
        <v>Janesville</v>
      </c>
      <c r="C156" s="22">
        <f>INDEX(Data[],MATCH($A156,Data[Dist],0),MATCH(C$6,Data[#Headers],0))</f>
        <v>237215</v>
      </c>
      <c r="D156" s="164">
        <f>INDEX(Data[],MATCH($A156,Data[Dist],0),MATCH(D$6,Data[#Headers],0))</f>
        <v>235537</v>
      </c>
      <c r="E156" s="164">
        <f>INDEX(Data[],MATCH($A156,Data[Dist],0),MATCH(E$6,Data[#Headers],0))</f>
        <v>235537</v>
      </c>
      <c r="F156" s="164">
        <f>INDEX(Data[],MATCH($A156,Data[Dist],0),MATCH(F$6,Data[#Headers],0))</f>
        <v>235535</v>
      </c>
      <c r="G156" s="22">
        <f>INDEX(Data[],MATCH($A156,Data[Dist],0),MATCH(G$6,Data[#Headers],0))</f>
        <v>2362080</v>
      </c>
      <c r="H156" s="22">
        <f>INDEX(Data[],MATCH($A156,Data[Dist],0),MATCH(H$6,Data[#Headers],0))-G156</f>
        <v>0</v>
      </c>
      <c r="I156" s="25"/>
      <c r="J156" s="22">
        <f>INDEX(Notes!$I$2:$N$11,MATCH(Notes!$B$2,Notes!$I$2:$I$11,0),4)*$C156</f>
        <v>948860</v>
      </c>
      <c r="K156" s="22">
        <f>INDEX(Notes!$I$2:$N$11,MATCH(Notes!$B$2,Notes!$I$2:$I$11,0),5)*$D156</f>
        <v>471074</v>
      </c>
      <c r="L156" s="22">
        <f>INDEX(Notes!$I$2:$N$11,MATCH(Notes!$B$2,Notes!$I$2:$I$11,0),6)*$E156</f>
        <v>706611</v>
      </c>
      <c r="M156" s="22">
        <f>IF(Notes!$B$2="June",'Payment Total'!$F156,0)</f>
        <v>235535</v>
      </c>
      <c r="N156" s="22">
        <f t="shared" si="14"/>
        <v>0</v>
      </c>
      <c r="P156" s="26">
        <v>31860000</v>
      </c>
      <c r="Q156" s="26">
        <v>235535</v>
      </c>
      <c r="R156" s="21" t="str">
        <f t="shared" si="15"/>
        <v>3186</v>
      </c>
      <c r="S156" s="44" t="str">
        <f t="shared" si="16"/>
        <v>3186</v>
      </c>
      <c r="T156" s="20">
        <f t="shared" si="17"/>
        <v>0</v>
      </c>
      <c r="V156" s="46" t="s">
        <v>959</v>
      </c>
      <c r="W156" s="26">
        <v>235535</v>
      </c>
      <c r="X156" s="21" t="str">
        <f t="shared" si="18"/>
        <v>3186</v>
      </c>
      <c r="Y156" s="44" t="str">
        <f t="shared" si="19"/>
        <v>3186</v>
      </c>
      <c r="Z156" s="45">
        <f t="shared" si="20"/>
        <v>0</v>
      </c>
    </row>
    <row r="157" spans="1:26" s="26" customFormat="1" ht="12.75" x14ac:dyDescent="0.2">
      <c r="A157" s="20" t="str">
        <f>Data!B152</f>
        <v>3195</v>
      </c>
      <c r="B157" s="21" t="str">
        <f>INDEX(Data[],MATCH($A157,Data[Dist],0),MATCH(B$6,Data[#Headers],0))</f>
        <v>Greene County</v>
      </c>
      <c r="C157" s="22">
        <f>INDEX(Data[],MATCH($A157,Data[Dist],0),MATCH(C$6,Data[#Headers],0))</f>
        <v>723648</v>
      </c>
      <c r="D157" s="164">
        <f>INDEX(Data[],MATCH($A157,Data[Dist],0),MATCH(D$6,Data[#Headers],0))</f>
        <v>718491</v>
      </c>
      <c r="E157" s="164">
        <f>INDEX(Data[],MATCH($A157,Data[Dist],0),MATCH(E$6,Data[#Headers],0))</f>
        <v>718490</v>
      </c>
      <c r="F157" s="164">
        <f>INDEX(Data[],MATCH($A157,Data[Dist],0),MATCH(F$6,Data[#Headers],0))</f>
        <v>718491</v>
      </c>
      <c r="G157" s="22">
        <f>INDEX(Data[],MATCH($A157,Data[Dist],0),MATCH(G$6,Data[#Headers],0))</f>
        <v>7205535</v>
      </c>
      <c r="H157" s="22">
        <f>INDEX(Data[],MATCH($A157,Data[Dist],0),MATCH(H$6,Data[#Headers],0))-G157</f>
        <v>0</v>
      </c>
      <c r="I157" s="25"/>
      <c r="J157" s="22">
        <f>INDEX(Notes!$I$2:$N$11,MATCH(Notes!$B$2,Notes!$I$2:$I$11,0),4)*$C157</f>
        <v>2894592</v>
      </c>
      <c r="K157" s="22">
        <f>INDEX(Notes!$I$2:$N$11,MATCH(Notes!$B$2,Notes!$I$2:$I$11,0),5)*$D157</f>
        <v>1436982</v>
      </c>
      <c r="L157" s="22">
        <f>INDEX(Notes!$I$2:$N$11,MATCH(Notes!$B$2,Notes!$I$2:$I$11,0),6)*$E157</f>
        <v>2155470</v>
      </c>
      <c r="M157" s="22">
        <f>IF(Notes!$B$2="June",'Payment Total'!$F157,0)</f>
        <v>718491</v>
      </c>
      <c r="N157" s="22">
        <f t="shared" si="14"/>
        <v>0</v>
      </c>
      <c r="P157" s="26">
        <v>31950000</v>
      </c>
      <c r="Q157" s="26">
        <v>718491</v>
      </c>
      <c r="R157" s="21" t="str">
        <f t="shared" si="15"/>
        <v>3195</v>
      </c>
      <c r="S157" s="44" t="str">
        <f t="shared" si="16"/>
        <v>3195</v>
      </c>
      <c r="T157" s="20">
        <f t="shared" si="17"/>
        <v>0</v>
      </c>
      <c r="V157" s="46" t="s">
        <v>934</v>
      </c>
      <c r="W157" s="26">
        <v>718491</v>
      </c>
      <c r="X157" s="21" t="str">
        <f t="shared" si="18"/>
        <v>3195</v>
      </c>
      <c r="Y157" s="44" t="str">
        <f t="shared" si="19"/>
        <v>3195</v>
      </c>
      <c r="Z157" s="45">
        <f t="shared" si="20"/>
        <v>0</v>
      </c>
    </row>
    <row r="158" spans="1:26" s="26" customFormat="1" ht="12.75" x14ac:dyDescent="0.2">
      <c r="A158" s="20" t="str">
        <f>Data!B153</f>
        <v>3204</v>
      </c>
      <c r="B158" s="21" t="str">
        <f>INDEX(Data[],MATCH($A158,Data[Dist],0),MATCH(B$6,Data[#Headers],0))</f>
        <v>Jesup</v>
      </c>
      <c r="C158" s="22">
        <f>INDEX(Data[],MATCH($A158,Data[Dist],0),MATCH(C$6,Data[#Headers],0))</f>
        <v>523928</v>
      </c>
      <c r="D158" s="164">
        <f>INDEX(Data[],MATCH($A158,Data[Dist],0),MATCH(D$6,Data[#Headers],0))</f>
        <v>520148</v>
      </c>
      <c r="E158" s="164">
        <f>INDEX(Data[],MATCH($A158,Data[Dist],0),MATCH(E$6,Data[#Headers],0))</f>
        <v>520148</v>
      </c>
      <c r="F158" s="164">
        <f>INDEX(Data[],MATCH($A158,Data[Dist],0),MATCH(F$6,Data[#Headers],0))</f>
        <v>520146</v>
      </c>
      <c r="G158" s="22">
        <f>INDEX(Data[],MATCH($A158,Data[Dist],0),MATCH(G$6,Data[#Headers],0))</f>
        <v>5216598</v>
      </c>
      <c r="H158" s="22">
        <f>INDEX(Data[],MATCH($A158,Data[Dist],0),MATCH(H$6,Data[#Headers],0))-G158</f>
        <v>0</v>
      </c>
      <c r="I158" s="25"/>
      <c r="J158" s="22">
        <f>INDEX(Notes!$I$2:$N$11,MATCH(Notes!$B$2,Notes!$I$2:$I$11,0),4)*$C158</f>
        <v>2095712</v>
      </c>
      <c r="K158" s="22">
        <f>INDEX(Notes!$I$2:$N$11,MATCH(Notes!$B$2,Notes!$I$2:$I$11,0),5)*$D158</f>
        <v>1040296</v>
      </c>
      <c r="L158" s="22">
        <f>INDEX(Notes!$I$2:$N$11,MATCH(Notes!$B$2,Notes!$I$2:$I$11,0),6)*$E158</f>
        <v>1560444</v>
      </c>
      <c r="M158" s="22">
        <f>IF(Notes!$B$2="June",'Payment Total'!$F158,0)</f>
        <v>520146</v>
      </c>
      <c r="N158" s="22">
        <f t="shared" si="14"/>
        <v>0</v>
      </c>
      <c r="P158" s="26">
        <v>32040000</v>
      </c>
      <c r="Q158" s="26">
        <v>520146</v>
      </c>
      <c r="R158" s="21" t="str">
        <f t="shared" si="15"/>
        <v>3204</v>
      </c>
      <c r="S158" s="44" t="str">
        <f t="shared" si="16"/>
        <v>3204</v>
      </c>
      <c r="T158" s="20">
        <f t="shared" si="17"/>
        <v>0</v>
      </c>
      <c r="V158" s="46" t="s">
        <v>960</v>
      </c>
      <c r="W158" s="26">
        <v>520146</v>
      </c>
      <c r="X158" s="21" t="str">
        <f t="shared" si="18"/>
        <v>3204</v>
      </c>
      <c r="Y158" s="44" t="str">
        <f t="shared" si="19"/>
        <v>3204</v>
      </c>
      <c r="Z158" s="45">
        <f t="shared" si="20"/>
        <v>0</v>
      </c>
    </row>
    <row r="159" spans="1:26" s="26" customFormat="1" ht="12.75" x14ac:dyDescent="0.2">
      <c r="A159" s="20" t="str">
        <f>Data!B154</f>
        <v>3231</v>
      </c>
      <c r="B159" s="21" t="str">
        <f>INDEX(Data[],MATCH($A159,Data[Dist],0),MATCH(B$6,Data[#Headers],0))</f>
        <v>Johnston</v>
      </c>
      <c r="C159" s="22">
        <f>INDEX(Data[],MATCH($A159,Data[Dist],0),MATCH(C$6,Data[#Headers],0))</f>
        <v>4134340</v>
      </c>
      <c r="D159" s="164">
        <f>INDEX(Data[],MATCH($A159,Data[Dist],0),MATCH(D$6,Data[#Headers],0))</f>
        <v>4104889</v>
      </c>
      <c r="E159" s="164">
        <f>INDEX(Data[],MATCH($A159,Data[Dist],0),MATCH(E$6,Data[#Headers],0))</f>
        <v>4104889</v>
      </c>
      <c r="F159" s="164">
        <f>INDEX(Data[],MATCH($A159,Data[Dist],0),MATCH(F$6,Data[#Headers],0))</f>
        <v>4104887</v>
      </c>
      <c r="G159" s="22">
        <f>INDEX(Data[],MATCH($A159,Data[Dist],0),MATCH(G$6,Data[#Headers],0))</f>
        <v>41166692</v>
      </c>
      <c r="H159" s="22">
        <f>INDEX(Data[],MATCH($A159,Data[Dist],0),MATCH(H$6,Data[#Headers],0))-G159</f>
        <v>0</v>
      </c>
      <c r="I159" s="25"/>
      <c r="J159" s="22">
        <f>INDEX(Notes!$I$2:$N$11,MATCH(Notes!$B$2,Notes!$I$2:$I$11,0),4)*$C159</f>
        <v>16537360</v>
      </c>
      <c r="K159" s="22">
        <f>INDEX(Notes!$I$2:$N$11,MATCH(Notes!$B$2,Notes!$I$2:$I$11,0),5)*$D159</f>
        <v>8209778</v>
      </c>
      <c r="L159" s="22">
        <f>INDEX(Notes!$I$2:$N$11,MATCH(Notes!$B$2,Notes!$I$2:$I$11,0),6)*$E159</f>
        <v>12314667</v>
      </c>
      <c r="M159" s="22">
        <f>IF(Notes!$B$2="June",'Payment Total'!$F159,0)</f>
        <v>4104887</v>
      </c>
      <c r="N159" s="22">
        <f t="shared" si="14"/>
        <v>0</v>
      </c>
      <c r="P159" s="26">
        <v>32310000</v>
      </c>
      <c r="Q159" s="26">
        <v>4104887</v>
      </c>
      <c r="R159" s="21" t="str">
        <f t="shared" si="15"/>
        <v>3231</v>
      </c>
      <c r="S159" s="44" t="str">
        <f t="shared" si="16"/>
        <v>3231</v>
      </c>
      <c r="T159" s="20">
        <f t="shared" si="17"/>
        <v>0</v>
      </c>
      <c r="V159" s="46" t="s">
        <v>961</v>
      </c>
      <c r="W159" s="26">
        <v>4104887</v>
      </c>
      <c r="X159" s="21" t="str">
        <f t="shared" si="18"/>
        <v>3231</v>
      </c>
      <c r="Y159" s="44" t="str">
        <f t="shared" si="19"/>
        <v>3231</v>
      </c>
      <c r="Z159" s="45">
        <f t="shared" si="20"/>
        <v>0</v>
      </c>
    </row>
    <row r="160" spans="1:26" s="26" customFormat="1" ht="12.75" x14ac:dyDescent="0.2">
      <c r="A160" s="20" t="str">
        <f>Data!B155</f>
        <v>3312</v>
      </c>
      <c r="B160" s="21" t="str">
        <f>INDEX(Data[],MATCH($A160,Data[Dist],0),MATCH(B$6,Data[#Headers],0))</f>
        <v>Keokuk</v>
      </c>
      <c r="C160" s="22">
        <f>INDEX(Data[],MATCH($A160,Data[Dist],0),MATCH(C$6,Data[#Headers],0))</f>
        <v>1407460</v>
      </c>
      <c r="D160" s="164">
        <f>INDEX(Data[],MATCH($A160,Data[Dist],0),MATCH(D$6,Data[#Headers],0))</f>
        <v>1399509</v>
      </c>
      <c r="E160" s="164">
        <f>INDEX(Data[],MATCH($A160,Data[Dist],0),MATCH(E$6,Data[#Headers],0))</f>
        <v>1399510</v>
      </c>
      <c r="F160" s="164">
        <f>INDEX(Data[],MATCH($A160,Data[Dist],0),MATCH(F$6,Data[#Headers],0))</f>
        <v>1399508</v>
      </c>
      <c r="G160" s="22">
        <f>INDEX(Data[],MATCH($A160,Data[Dist],0),MATCH(G$6,Data[#Headers],0))</f>
        <v>14026896</v>
      </c>
      <c r="H160" s="22">
        <f>INDEX(Data[],MATCH($A160,Data[Dist],0),MATCH(H$6,Data[#Headers],0))-G160</f>
        <v>0</v>
      </c>
      <c r="I160" s="25"/>
      <c r="J160" s="22">
        <f>INDEX(Notes!$I$2:$N$11,MATCH(Notes!$B$2,Notes!$I$2:$I$11,0),4)*$C160</f>
        <v>5629840</v>
      </c>
      <c r="K160" s="22">
        <f>INDEX(Notes!$I$2:$N$11,MATCH(Notes!$B$2,Notes!$I$2:$I$11,0),5)*$D160</f>
        <v>2799018</v>
      </c>
      <c r="L160" s="22">
        <f>INDEX(Notes!$I$2:$N$11,MATCH(Notes!$B$2,Notes!$I$2:$I$11,0),6)*$E160</f>
        <v>4198530</v>
      </c>
      <c r="M160" s="22">
        <f>IF(Notes!$B$2="June",'Payment Total'!$F160,0)</f>
        <v>1399508</v>
      </c>
      <c r="N160" s="22">
        <f t="shared" si="14"/>
        <v>0</v>
      </c>
      <c r="P160" s="26">
        <v>33120000</v>
      </c>
      <c r="Q160" s="26">
        <v>1399508</v>
      </c>
      <c r="R160" s="21" t="str">
        <f t="shared" si="15"/>
        <v>3312</v>
      </c>
      <c r="S160" s="44" t="str">
        <f t="shared" si="16"/>
        <v>3312</v>
      </c>
      <c r="T160" s="20">
        <f t="shared" si="17"/>
        <v>0</v>
      </c>
      <c r="V160" s="46" t="s">
        <v>962</v>
      </c>
      <c r="W160" s="26">
        <v>1399508</v>
      </c>
      <c r="X160" s="21" t="str">
        <f t="shared" si="18"/>
        <v>3312</v>
      </c>
      <c r="Y160" s="44" t="str">
        <f t="shared" si="19"/>
        <v>3312</v>
      </c>
      <c r="Z160" s="45">
        <f t="shared" si="20"/>
        <v>0</v>
      </c>
    </row>
    <row r="161" spans="1:26" s="26" customFormat="1" ht="12.75" x14ac:dyDescent="0.2">
      <c r="A161" s="20" t="str">
        <f>Data!B156</f>
        <v>3330</v>
      </c>
      <c r="B161" s="21" t="str">
        <f>INDEX(Data[],MATCH($A161,Data[Dist],0),MATCH(B$6,Data[#Headers],0))</f>
        <v>Keota</v>
      </c>
      <c r="C161" s="22">
        <f>INDEX(Data[],MATCH($A161,Data[Dist],0),MATCH(C$6,Data[#Headers],0))</f>
        <v>189210</v>
      </c>
      <c r="D161" s="164">
        <f>INDEX(Data[],MATCH($A161,Data[Dist],0),MATCH(D$6,Data[#Headers],0))</f>
        <v>187790</v>
      </c>
      <c r="E161" s="164">
        <f>INDEX(Data[],MATCH($A161,Data[Dist],0),MATCH(E$6,Data[#Headers],0))</f>
        <v>187790</v>
      </c>
      <c r="F161" s="164">
        <f>INDEX(Data[],MATCH($A161,Data[Dist],0),MATCH(F$6,Data[#Headers],0))</f>
        <v>187789</v>
      </c>
      <c r="G161" s="22">
        <f>INDEX(Data[],MATCH($A161,Data[Dist],0),MATCH(G$6,Data[#Headers],0))</f>
        <v>1883579</v>
      </c>
      <c r="H161" s="22">
        <f>INDEX(Data[],MATCH($A161,Data[Dist],0),MATCH(H$6,Data[#Headers],0))-G161</f>
        <v>0</v>
      </c>
      <c r="I161" s="25"/>
      <c r="J161" s="22">
        <f>INDEX(Notes!$I$2:$N$11,MATCH(Notes!$B$2,Notes!$I$2:$I$11,0),4)*$C161</f>
        <v>756840</v>
      </c>
      <c r="K161" s="22">
        <f>INDEX(Notes!$I$2:$N$11,MATCH(Notes!$B$2,Notes!$I$2:$I$11,0),5)*$D161</f>
        <v>375580</v>
      </c>
      <c r="L161" s="22">
        <f>INDEX(Notes!$I$2:$N$11,MATCH(Notes!$B$2,Notes!$I$2:$I$11,0),6)*$E161</f>
        <v>563370</v>
      </c>
      <c r="M161" s="22">
        <f>IF(Notes!$B$2="June",'Payment Total'!$F161,0)</f>
        <v>187789</v>
      </c>
      <c r="N161" s="22">
        <f t="shared" si="14"/>
        <v>0</v>
      </c>
      <c r="P161" s="26">
        <v>33300000</v>
      </c>
      <c r="Q161" s="26">
        <v>187789</v>
      </c>
      <c r="R161" s="21" t="str">
        <f t="shared" si="15"/>
        <v>3330</v>
      </c>
      <c r="S161" s="44" t="str">
        <f t="shared" si="16"/>
        <v>3330</v>
      </c>
      <c r="T161" s="20">
        <f t="shared" si="17"/>
        <v>0</v>
      </c>
      <c r="V161" s="46" t="s">
        <v>963</v>
      </c>
      <c r="W161" s="26">
        <v>187789</v>
      </c>
      <c r="X161" s="21" t="str">
        <f t="shared" si="18"/>
        <v>3330</v>
      </c>
      <c r="Y161" s="44" t="str">
        <f t="shared" si="19"/>
        <v>3330</v>
      </c>
      <c r="Z161" s="45">
        <f t="shared" si="20"/>
        <v>0</v>
      </c>
    </row>
    <row r="162" spans="1:26" s="26" customFormat="1" ht="12.75" x14ac:dyDescent="0.2">
      <c r="A162" s="20" t="str">
        <f>Data!B157</f>
        <v>3348</v>
      </c>
      <c r="B162" s="21" t="str">
        <f>INDEX(Data[],MATCH($A162,Data[Dist],0),MATCH(B$6,Data[#Headers],0))</f>
        <v>Kingsley-Pierson</v>
      </c>
      <c r="C162" s="22">
        <f>INDEX(Data[],MATCH($A162,Data[Dist],0),MATCH(C$6,Data[#Headers],0))</f>
        <v>260038</v>
      </c>
      <c r="D162" s="164">
        <f>INDEX(Data[],MATCH($A162,Data[Dist],0),MATCH(D$6,Data[#Headers],0))</f>
        <v>258138</v>
      </c>
      <c r="E162" s="164">
        <f>INDEX(Data[],MATCH($A162,Data[Dist],0),MATCH(E$6,Data[#Headers],0))</f>
        <v>258138</v>
      </c>
      <c r="F162" s="164">
        <f>INDEX(Data[],MATCH($A162,Data[Dist],0),MATCH(F$6,Data[#Headers],0))</f>
        <v>258138</v>
      </c>
      <c r="G162" s="22">
        <f>INDEX(Data[],MATCH($A162,Data[Dist],0),MATCH(G$6,Data[#Headers],0))</f>
        <v>2588980</v>
      </c>
      <c r="H162" s="22">
        <f>INDEX(Data[],MATCH($A162,Data[Dist],0),MATCH(H$6,Data[#Headers],0))-G162</f>
        <v>0</v>
      </c>
      <c r="I162" s="25"/>
      <c r="J162" s="22">
        <f>INDEX(Notes!$I$2:$N$11,MATCH(Notes!$B$2,Notes!$I$2:$I$11,0),4)*$C162</f>
        <v>1040152</v>
      </c>
      <c r="K162" s="22">
        <f>INDEX(Notes!$I$2:$N$11,MATCH(Notes!$B$2,Notes!$I$2:$I$11,0),5)*$D162</f>
        <v>516276</v>
      </c>
      <c r="L162" s="22">
        <f>INDEX(Notes!$I$2:$N$11,MATCH(Notes!$B$2,Notes!$I$2:$I$11,0),6)*$E162</f>
        <v>774414</v>
      </c>
      <c r="M162" s="22">
        <f>IF(Notes!$B$2="June",'Payment Total'!$F162,0)</f>
        <v>258138</v>
      </c>
      <c r="N162" s="22">
        <f t="shared" si="14"/>
        <v>0</v>
      </c>
      <c r="P162" s="26">
        <v>33480000</v>
      </c>
      <c r="Q162" s="26">
        <v>258138</v>
      </c>
      <c r="R162" s="21" t="str">
        <f t="shared" si="15"/>
        <v>3348</v>
      </c>
      <c r="S162" s="44" t="str">
        <f t="shared" si="16"/>
        <v>3348</v>
      </c>
      <c r="T162" s="20">
        <f t="shared" si="17"/>
        <v>0</v>
      </c>
      <c r="V162" s="46" t="s">
        <v>964</v>
      </c>
      <c r="W162" s="26">
        <v>258138</v>
      </c>
      <c r="X162" s="21" t="str">
        <f t="shared" si="18"/>
        <v>3348</v>
      </c>
      <c r="Y162" s="44" t="str">
        <f t="shared" si="19"/>
        <v>3348</v>
      </c>
      <c r="Z162" s="45">
        <f t="shared" si="20"/>
        <v>0</v>
      </c>
    </row>
    <row r="163" spans="1:26" s="26" customFormat="1" ht="12.75" x14ac:dyDescent="0.2">
      <c r="A163" s="20" t="str">
        <f>Data!B158</f>
        <v>3375</v>
      </c>
      <c r="B163" s="21" t="str">
        <f>INDEX(Data[],MATCH($A163,Data[Dist],0),MATCH(B$6,Data[#Headers],0))</f>
        <v>Knoxville</v>
      </c>
      <c r="C163" s="22">
        <f>INDEX(Data[],MATCH($A163,Data[Dist],0),MATCH(C$6,Data[#Headers],0))</f>
        <v>1221525</v>
      </c>
      <c r="D163" s="164">
        <f>INDEX(Data[],MATCH($A163,Data[Dist],0),MATCH(D$6,Data[#Headers],0))</f>
        <v>1214181</v>
      </c>
      <c r="E163" s="164">
        <f>INDEX(Data[],MATCH($A163,Data[Dist],0),MATCH(E$6,Data[#Headers],0))</f>
        <v>1214181</v>
      </c>
      <c r="F163" s="164">
        <f>INDEX(Data[],MATCH($A163,Data[Dist],0),MATCH(F$6,Data[#Headers],0))</f>
        <v>1214181</v>
      </c>
      <c r="G163" s="22">
        <f>INDEX(Data[],MATCH($A163,Data[Dist],0),MATCH(G$6,Data[#Headers],0))</f>
        <v>12171186</v>
      </c>
      <c r="H163" s="22">
        <f>INDEX(Data[],MATCH($A163,Data[Dist],0),MATCH(H$6,Data[#Headers],0))-G163</f>
        <v>0</v>
      </c>
      <c r="I163" s="25"/>
      <c r="J163" s="22">
        <f>INDEX(Notes!$I$2:$N$11,MATCH(Notes!$B$2,Notes!$I$2:$I$11,0),4)*$C163</f>
        <v>4886100</v>
      </c>
      <c r="K163" s="22">
        <f>INDEX(Notes!$I$2:$N$11,MATCH(Notes!$B$2,Notes!$I$2:$I$11,0),5)*$D163</f>
        <v>2428362</v>
      </c>
      <c r="L163" s="22">
        <f>INDEX(Notes!$I$2:$N$11,MATCH(Notes!$B$2,Notes!$I$2:$I$11,0),6)*$E163</f>
        <v>3642543</v>
      </c>
      <c r="M163" s="22">
        <f>IF(Notes!$B$2="June",'Payment Total'!$F163,0)</f>
        <v>1214181</v>
      </c>
      <c r="N163" s="22">
        <f t="shared" si="14"/>
        <v>0</v>
      </c>
      <c r="P163" s="26">
        <v>33750000</v>
      </c>
      <c r="Q163" s="26">
        <v>1214181</v>
      </c>
      <c r="R163" s="21" t="str">
        <f t="shared" si="15"/>
        <v>3375</v>
      </c>
      <c r="S163" s="44" t="str">
        <f t="shared" si="16"/>
        <v>3375</v>
      </c>
      <c r="T163" s="20">
        <f t="shared" si="17"/>
        <v>0</v>
      </c>
      <c r="V163" s="46" t="s">
        <v>965</v>
      </c>
      <c r="W163" s="26">
        <v>1214181</v>
      </c>
      <c r="X163" s="21" t="str">
        <f t="shared" si="18"/>
        <v>3375</v>
      </c>
      <c r="Y163" s="44" t="str">
        <f t="shared" si="19"/>
        <v>3375</v>
      </c>
      <c r="Z163" s="45">
        <f t="shared" si="20"/>
        <v>0</v>
      </c>
    </row>
    <row r="164" spans="1:26" s="26" customFormat="1" ht="12.75" x14ac:dyDescent="0.2">
      <c r="A164" s="20" t="str">
        <f>Data!B159</f>
        <v>3420</v>
      </c>
      <c r="B164" s="21" t="str">
        <f>INDEX(Data[],MATCH($A164,Data[Dist],0),MATCH(B$6,Data[#Headers],0))</f>
        <v>Lake Mills</v>
      </c>
      <c r="C164" s="22">
        <f>INDEX(Data[],MATCH($A164,Data[Dist],0),MATCH(C$6,Data[#Headers],0))</f>
        <v>357984</v>
      </c>
      <c r="D164" s="164">
        <f>INDEX(Data[],MATCH($A164,Data[Dist],0),MATCH(D$6,Data[#Headers],0))</f>
        <v>355426</v>
      </c>
      <c r="E164" s="164">
        <f>INDEX(Data[],MATCH($A164,Data[Dist],0),MATCH(E$6,Data[#Headers],0))</f>
        <v>355425</v>
      </c>
      <c r="F164" s="164">
        <f>INDEX(Data[],MATCH($A164,Data[Dist],0),MATCH(F$6,Data[#Headers],0))</f>
        <v>355426</v>
      </c>
      <c r="G164" s="22">
        <f>INDEX(Data[],MATCH($A164,Data[Dist],0),MATCH(G$6,Data[#Headers],0))</f>
        <v>3564489</v>
      </c>
      <c r="H164" s="22">
        <f>INDEX(Data[],MATCH($A164,Data[Dist],0),MATCH(H$6,Data[#Headers],0))-G164</f>
        <v>0</v>
      </c>
      <c r="I164" s="25"/>
      <c r="J164" s="22">
        <f>INDEX(Notes!$I$2:$N$11,MATCH(Notes!$B$2,Notes!$I$2:$I$11,0),4)*$C164</f>
        <v>1431936</v>
      </c>
      <c r="K164" s="22">
        <f>INDEX(Notes!$I$2:$N$11,MATCH(Notes!$B$2,Notes!$I$2:$I$11,0),5)*$D164</f>
        <v>710852</v>
      </c>
      <c r="L164" s="22">
        <f>INDEX(Notes!$I$2:$N$11,MATCH(Notes!$B$2,Notes!$I$2:$I$11,0),6)*$E164</f>
        <v>1066275</v>
      </c>
      <c r="M164" s="22">
        <f>IF(Notes!$B$2="June",'Payment Total'!$F164,0)</f>
        <v>355426</v>
      </c>
      <c r="N164" s="22">
        <f t="shared" si="14"/>
        <v>0</v>
      </c>
      <c r="P164" s="26">
        <v>34200000</v>
      </c>
      <c r="Q164" s="26">
        <v>355426</v>
      </c>
      <c r="R164" s="21" t="str">
        <f t="shared" si="15"/>
        <v>3420</v>
      </c>
      <c r="S164" s="44" t="str">
        <f t="shared" si="16"/>
        <v>3420</v>
      </c>
      <c r="T164" s="20">
        <f t="shared" si="17"/>
        <v>0</v>
      </c>
      <c r="V164" s="46" t="s">
        <v>966</v>
      </c>
      <c r="W164" s="26">
        <v>355426</v>
      </c>
      <c r="X164" s="21" t="str">
        <f t="shared" si="18"/>
        <v>3420</v>
      </c>
      <c r="Y164" s="44" t="str">
        <f t="shared" si="19"/>
        <v>3420</v>
      </c>
      <c r="Z164" s="45">
        <f t="shared" si="20"/>
        <v>0</v>
      </c>
    </row>
    <row r="165" spans="1:26" s="26" customFormat="1" ht="12.75" x14ac:dyDescent="0.2">
      <c r="A165" s="20" t="str">
        <f>Data!B160</f>
        <v>3465</v>
      </c>
      <c r="B165" s="21" t="str">
        <f>INDEX(Data[],MATCH($A165,Data[Dist],0),MATCH(B$6,Data[#Headers],0))</f>
        <v>Lamoni</v>
      </c>
      <c r="C165" s="22">
        <f>INDEX(Data[],MATCH($A165,Data[Dist],0),MATCH(C$6,Data[#Headers],0))</f>
        <v>204816</v>
      </c>
      <c r="D165" s="164">
        <f>INDEX(Data[],MATCH($A165,Data[Dist],0),MATCH(D$6,Data[#Headers],0))</f>
        <v>203540</v>
      </c>
      <c r="E165" s="164">
        <f>INDEX(Data[],MATCH($A165,Data[Dist],0),MATCH(E$6,Data[#Headers],0))</f>
        <v>203540</v>
      </c>
      <c r="F165" s="164">
        <f>INDEX(Data[],MATCH($A165,Data[Dist],0),MATCH(F$6,Data[#Headers],0))</f>
        <v>203540</v>
      </c>
      <c r="G165" s="22">
        <f>INDEX(Data[],MATCH($A165,Data[Dist],0),MATCH(G$6,Data[#Headers],0))</f>
        <v>2040504</v>
      </c>
      <c r="H165" s="22">
        <f>INDEX(Data[],MATCH($A165,Data[Dist],0),MATCH(H$6,Data[#Headers],0))-G165</f>
        <v>0</v>
      </c>
      <c r="I165" s="25"/>
      <c r="J165" s="22">
        <f>INDEX(Notes!$I$2:$N$11,MATCH(Notes!$B$2,Notes!$I$2:$I$11,0),4)*$C165</f>
        <v>819264</v>
      </c>
      <c r="K165" s="22">
        <f>INDEX(Notes!$I$2:$N$11,MATCH(Notes!$B$2,Notes!$I$2:$I$11,0),5)*$D165</f>
        <v>407080</v>
      </c>
      <c r="L165" s="22">
        <f>INDEX(Notes!$I$2:$N$11,MATCH(Notes!$B$2,Notes!$I$2:$I$11,0),6)*$E165</f>
        <v>610620</v>
      </c>
      <c r="M165" s="22">
        <f>IF(Notes!$B$2="June",'Payment Total'!$F165,0)</f>
        <v>203540</v>
      </c>
      <c r="N165" s="22">
        <f t="shared" si="14"/>
        <v>0</v>
      </c>
      <c r="P165" s="26">
        <v>34650000</v>
      </c>
      <c r="Q165" s="26">
        <v>203540</v>
      </c>
      <c r="R165" s="21" t="str">
        <f t="shared" si="15"/>
        <v>3465</v>
      </c>
      <c r="S165" s="44" t="str">
        <f t="shared" si="16"/>
        <v>3465</v>
      </c>
      <c r="T165" s="20">
        <f t="shared" si="17"/>
        <v>0</v>
      </c>
      <c r="V165" s="46" t="s">
        <v>967</v>
      </c>
      <c r="W165" s="26">
        <v>203540</v>
      </c>
      <c r="X165" s="21" t="str">
        <f t="shared" si="18"/>
        <v>3465</v>
      </c>
      <c r="Y165" s="44" t="str">
        <f t="shared" si="19"/>
        <v>3465</v>
      </c>
      <c r="Z165" s="45">
        <f t="shared" si="20"/>
        <v>0</v>
      </c>
    </row>
    <row r="166" spans="1:26" s="26" customFormat="1" ht="12.75" x14ac:dyDescent="0.2">
      <c r="A166" s="20" t="str">
        <f>Data!B161</f>
        <v>3537</v>
      </c>
      <c r="B166" s="21" t="str">
        <f>INDEX(Data[],MATCH($A166,Data[Dist],0),MATCH(B$6,Data[#Headers],0))</f>
        <v>Laurens-Marathon</v>
      </c>
      <c r="C166" s="22">
        <f>INDEX(Data[],MATCH($A166,Data[Dist],0),MATCH(C$6,Data[#Headers],0))</f>
        <v>149485</v>
      </c>
      <c r="D166" s="164">
        <f>INDEX(Data[],MATCH($A166,Data[Dist],0),MATCH(D$6,Data[#Headers],0))</f>
        <v>148315</v>
      </c>
      <c r="E166" s="164">
        <f>INDEX(Data[],MATCH($A166,Data[Dist],0),MATCH(E$6,Data[#Headers],0))</f>
        <v>148315</v>
      </c>
      <c r="F166" s="164">
        <f>INDEX(Data[],MATCH($A166,Data[Dist],0),MATCH(F$6,Data[#Headers],0))</f>
        <v>148313</v>
      </c>
      <c r="G166" s="22">
        <f>INDEX(Data[],MATCH($A166,Data[Dist],0),MATCH(G$6,Data[#Headers],0))</f>
        <v>1487828</v>
      </c>
      <c r="H166" s="22">
        <f>INDEX(Data[],MATCH($A166,Data[Dist],0),MATCH(H$6,Data[#Headers],0))-G166</f>
        <v>0</v>
      </c>
      <c r="I166" s="25"/>
      <c r="J166" s="22">
        <f>INDEX(Notes!$I$2:$N$11,MATCH(Notes!$B$2,Notes!$I$2:$I$11,0),4)*$C166</f>
        <v>597940</v>
      </c>
      <c r="K166" s="22">
        <f>INDEX(Notes!$I$2:$N$11,MATCH(Notes!$B$2,Notes!$I$2:$I$11,0),5)*$D166</f>
        <v>296630</v>
      </c>
      <c r="L166" s="22">
        <f>INDEX(Notes!$I$2:$N$11,MATCH(Notes!$B$2,Notes!$I$2:$I$11,0),6)*$E166</f>
        <v>444945</v>
      </c>
      <c r="M166" s="22">
        <f>IF(Notes!$B$2="June",'Payment Total'!$F166,0)</f>
        <v>148313</v>
      </c>
      <c r="N166" s="22">
        <f t="shared" si="14"/>
        <v>0</v>
      </c>
      <c r="P166" s="26">
        <v>35370000</v>
      </c>
      <c r="Q166" s="26">
        <v>148313</v>
      </c>
      <c r="R166" s="21" t="str">
        <f t="shared" si="15"/>
        <v>3537</v>
      </c>
      <c r="S166" s="44" t="str">
        <f t="shared" si="16"/>
        <v>3537</v>
      </c>
      <c r="T166" s="20">
        <f t="shared" si="17"/>
        <v>0</v>
      </c>
      <c r="V166" s="46" t="s">
        <v>968</v>
      </c>
      <c r="W166" s="26">
        <v>148313</v>
      </c>
      <c r="X166" s="21" t="str">
        <f t="shared" si="18"/>
        <v>3537</v>
      </c>
      <c r="Y166" s="44" t="str">
        <f t="shared" si="19"/>
        <v>3537</v>
      </c>
      <c r="Z166" s="45">
        <f t="shared" si="20"/>
        <v>0</v>
      </c>
    </row>
    <row r="167" spans="1:26" s="26" customFormat="1" ht="12.75" x14ac:dyDescent="0.2">
      <c r="A167" s="20" t="str">
        <f>Data!B162</f>
        <v>3555</v>
      </c>
      <c r="B167" s="21" t="str">
        <f>INDEX(Data[],MATCH($A167,Data[Dist],0),MATCH(B$6,Data[#Headers],0))</f>
        <v>Lawton-Bronson</v>
      </c>
      <c r="C167" s="22">
        <f>INDEX(Data[],MATCH($A167,Data[Dist],0),MATCH(C$6,Data[#Headers],0))</f>
        <v>329620</v>
      </c>
      <c r="D167" s="164">
        <f>INDEX(Data[],MATCH($A167,Data[Dist],0),MATCH(D$6,Data[#Headers],0))</f>
        <v>327225</v>
      </c>
      <c r="E167" s="164">
        <f>INDEX(Data[],MATCH($A167,Data[Dist],0),MATCH(E$6,Data[#Headers],0))</f>
        <v>327225</v>
      </c>
      <c r="F167" s="164">
        <f>INDEX(Data[],MATCH($A167,Data[Dist],0),MATCH(F$6,Data[#Headers],0))</f>
        <v>327226</v>
      </c>
      <c r="G167" s="22">
        <f>INDEX(Data[],MATCH($A167,Data[Dist],0),MATCH(G$6,Data[#Headers],0))</f>
        <v>3281831</v>
      </c>
      <c r="H167" s="22">
        <f>INDEX(Data[],MATCH($A167,Data[Dist],0),MATCH(H$6,Data[#Headers],0))-G167</f>
        <v>0</v>
      </c>
      <c r="I167" s="25"/>
      <c r="J167" s="22">
        <f>INDEX(Notes!$I$2:$N$11,MATCH(Notes!$B$2,Notes!$I$2:$I$11,0),4)*$C167</f>
        <v>1318480</v>
      </c>
      <c r="K167" s="22">
        <f>INDEX(Notes!$I$2:$N$11,MATCH(Notes!$B$2,Notes!$I$2:$I$11,0),5)*$D167</f>
        <v>654450</v>
      </c>
      <c r="L167" s="22">
        <f>INDEX(Notes!$I$2:$N$11,MATCH(Notes!$B$2,Notes!$I$2:$I$11,0),6)*$E167</f>
        <v>981675</v>
      </c>
      <c r="M167" s="22">
        <f>IF(Notes!$B$2="June",'Payment Total'!$F167,0)</f>
        <v>327226</v>
      </c>
      <c r="N167" s="22">
        <f t="shared" si="14"/>
        <v>0</v>
      </c>
      <c r="P167" s="26">
        <v>35550000</v>
      </c>
      <c r="Q167" s="26">
        <v>327226</v>
      </c>
      <c r="R167" s="21" t="str">
        <f t="shared" si="15"/>
        <v>3555</v>
      </c>
      <c r="S167" s="44" t="str">
        <f t="shared" si="16"/>
        <v>3555</v>
      </c>
      <c r="T167" s="20">
        <f t="shared" si="17"/>
        <v>0</v>
      </c>
      <c r="V167" s="46" t="s">
        <v>969</v>
      </c>
      <c r="W167" s="26">
        <v>327226</v>
      </c>
      <c r="X167" s="21" t="str">
        <f t="shared" si="18"/>
        <v>3555</v>
      </c>
      <c r="Y167" s="44" t="str">
        <f t="shared" si="19"/>
        <v>3555</v>
      </c>
      <c r="Z167" s="45">
        <f t="shared" si="20"/>
        <v>0</v>
      </c>
    </row>
    <row r="168" spans="1:26" s="26" customFormat="1" ht="12.75" x14ac:dyDescent="0.2">
      <c r="A168" s="20" t="str">
        <f>Data!B163</f>
        <v>3582</v>
      </c>
      <c r="B168" s="21" t="str">
        <f>INDEX(Data[],MATCH($A168,Data[Dist],0),MATCH(B$6,Data[#Headers],0))</f>
        <v>East Marshall</v>
      </c>
      <c r="C168" s="22">
        <f>INDEX(Data[],MATCH($A168,Data[Dist],0),MATCH(C$6,Data[#Headers],0))</f>
        <v>309175</v>
      </c>
      <c r="D168" s="164">
        <f>INDEX(Data[],MATCH($A168,Data[Dist],0),MATCH(D$6,Data[#Headers],0))</f>
        <v>306834</v>
      </c>
      <c r="E168" s="164">
        <f>INDEX(Data[],MATCH($A168,Data[Dist],0),MATCH(E$6,Data[#Headers],0))</f>
        <v>306835</v>
      </c>
      <c r="F168" s="164">
        <f>INDEX(Data[],MATCH($A168,Data[Dist],0),MATCH(F$6,Data[#Headers],0))</f>
        <v>306833</v>
      </c>
      <c r="G168" s="22">
        <f>INDEX(Data[],MATCH($A168,Data[Dist],0),MATCH(G$6,Data[#Headers],0))</f>
        <v>3077706</v>
      </c>
      <c r="H168" s="22">
        <f>INDEX(Data[],MATCH($A168,Data[Dist],0),MATCH(H$6,Data[#Headers],0))-G168</f>
        <v>0</v>
      </c>
      <c r="I168" s="25"/>
      <c r="J168" s="22">
        <f>INDEX(Notes!$I$2:$N$11,MATCH(Notes!$B$2,Notes!$I$2:$I$11,0),4)*$C168</f>
        <v>1236700</v>
      </c>
      <c r="K168" s="22">
        <f>INDEX(Notes!$I$2:$N$11,MATCH(Notes!$B$2,Notes!$I$2:$I$11,0),5)*$D168</f>
        <v>613668</v>
      </c>
      <c r="L168" s="22">
        <f>INDEX(Notes!$I$2:$N$11,MATCH(Notes!$B$2,Notes!$I$2:$I$11,0),6)*$E168</f>
        <v>920505</v>
      </c>
      <c r="M168" s="22">
        <f>IF(Notes!$B$2="June",'Payment Total'!$F168,0)</f>
        <v>306833</v>
      </c>
      <c r="N168" s="22">
        <f t="shared" si="14"/>
        <v>0</v>
      </c>
      <c r="P168" s="26">
        <v>19680000</v>
      </c>
      <c r="Q168" s="26">
        <v>306833</v>
      </c>
      <c r="R168" s="21" t="str">
        <f t="shared" si="15"/>
        <v>1968</v>
      </c>
      <c r="S168" s="44" t="str">
        <f t="shared" si="16"/>
        <v>3582</v>
      </c>
      <c r="T168" s="20">
        <f t="shared" si="17"/>
        <v>0</v>
      </c>
      <c r="V168" s="46" t="s">
        <v>970</v>
      </c>
      <c r="W168" s="26">
        <v>1250078</v>
      </c>
      <c r="X168" s="21" t="str">
        <f t="shared" si="18"/>
        <v>3600</v>
      </c>
      <c r="Y168" s="44" t="str">
        <f t="shared" si="19"/>
        <v>3600</v>
      </c>
      <c r="Z168" s="45">
        <f t="shared" si="20"/>
        <v>0</v>
      </c>
    </row>
    <row r="169" spans="1:26" s="26" customFormat="1" ht="12.75" x14ac:dyDescent="0.2">
      <c r="A169" s="20" t="str">
        <f>Data!B164</f>
        <v>3600</v>
      </c>
      <c r="B169" s="21" t="str">
        <f>INDEX(Data[],MATCH($A169,Data[Dist],0),MATCH(B$6,Data[#Headers],0))</f>
        <v>Le Mars</v>
      </c>
      <c r="C169" s="22">
        <f>INDEX(Data[],MATCH($A169,Data[Dist],0),MATCH(C$6,Data[#Headers],0))</f>
        <v>1259171</v>
      </c>
      <c r="D169" s="164">
        <f>INDEX(Data[],MATCH($A169,Data[Dist],0),MATCH(D$6,Data[#Headers],0))</f>
        <v>1250077</v>
      </c>
      <c r="E169" s="164">
        <f>INDEX(Data[],MATCH($A169,Data[Dist],0),MATCH(E$6,Data[#Headers],0))</f>
        <v>1250077</v>
      </c>
      <c r="F169" s="164">
        <f>INDEX(Data[],MATCH($A169,Data[Dist],0),MATCH(F$6,Data[#Headers],0))</f>
        <v>1250078</v>
      </c>
      <c r="G169" s="22">
        <f>INDEX(Data[],MATCH($A169,Data[Dist],0),MATCH(G$6,Data[#Headers],0))</f>
        <v>12537147</v>
      </c>
      <c r="H169" s="22">
        <f>INDEX(Data[],MATCH($A169,Data[Dist],0),MATCH(H$6,Data[#Headers],0))-G169</f>
        <v>0</v>
      </c>
      <c r="I169" s="25"/>
      <c r="J169" s="22">
        <f>INDEX(Notes!$I$2:$N$11,MATCH(Notes!$B$2,Notes!$I$2:$I$11,0),4)*$C169</f>
        <v>5036684</v>
      </c>
      <c r="K169" s="22">
        <f>INDEX(Notes!$I$2:$N$11,MATCH(Notes!$B$2,Notes!$I$2:$I$11,0),5)*$D169</f>
        <v>2500154</v>
      </c>
      <c r="L169" s="22">
        <f>INDEX(Notes!$I$2:$N$11,MATCH(Notes!$B$2,Notes!$I$2:$I$11,0),6)*$E169</f>
        <v>3750231</v>
      </c>
      <c r="M169" s="22">
        <f>IF(Notes!$B$2="June",'Payment Total'!$F169,0)</f>
        <v>1250078</v>
      </c>
      <c r="N169" s="22">
        <f t="shared" si="14"/>
        <v>0</v>
      </c>
      <c r="P169" s="26">
        <v>36000000</v>
      </c>
      <c r="Q169" s="26">
        <v>1250078</v>
      </c>
      <c r="R169" s="21" t="str">
        <f t="shared" si="15"/>
        <v>3600</v>
      </c>
      <c r="S169" s="44" t="str">
        <f t="shared" si="16"/>
        <v>3600</v>
      </c>
      <c r="T169" s="20">
        <f t="shared" si="17"/>
        <v>0</v>
      </c>
      <c r="V169" s="46" t="s">
        <v>971</v>
      </c>
      <c r="W169" s="26">
        <v>286329</v>
      </c>
      <c r="X169" s="21" t="str">
        <f t="shared" si="18"/>
        <v>3609</v>
      </c>
      <c r="Y169" s="44" t="str">
        <f t="shared" si="19"/>
        <v>3609</v>
      </c>
      <c r="Z169" s="45">
        <f t="shared" si="20"/>
        <v>0</v>
      </c>
    </row>
    <row r="170" spans="1:26" s="26" customFormat="1" ht="12.75" x14ac:dyDescent="0.2">
      <c r="A170" s="20" t="str">
        <f>Data!B165</f>
        <v>3609</v>
      </c>
      <c r="B170" s="21" t="str">
        <f>INDEX(Data[],MATCH($A170,Data[Dist],0),MATCH(B$6,Data[#Headers],0))</f>
        <v>Lenox</v>
      </c>
      <c r="C170" s="22">
        <f>INDEX(Data[],MATCH($A170,Data[Dist],0),MATCH(C$6,Data[#Headers],0))</f>
        <v>288246</v>
      </c>
      <c r="D170" s="164">
        <f>INDEX(Data[],MATCH($A170,Data[Dist],0),MATCH(D$6,Data[#Headers],0))</f>
        <v>286329</v>
      </c>
      <c r="E170" s="164">
        <f>INDEX(Data[],MATCH($A170,Data[Dist],0),MATCH(E$6,Data[#Headers],0))</f>
        <v>286328</v>
      </c>
      <c r="F170" s="164">
        <f>INDEX(Data[],MATCH($A170,Data[Dist],0),MATCH(F$6,Data[#Headers],0))</f>
        <v>286329</v>
      </c>
      <c r="G170" s="22">
        <f>INDEX(Data[],MATCH($A170,Data[Dist],0),MATCH(G$6,Data[#Headers],0))</f>
        <v>2870955</v>
      </c>
      <c r="H170" s="22">
        <f>INDEX(Data[],MATCH($A170,Data[Dist],0),MATCH(H$6,Data[#Headers],0))-G170</f>
        <v>0</v>
      </c>
      <c r="I170" s="25"/>
      <c r="J170" s="22">
        <f>INDEX(Notes!$I$2:$N$11,MATCH(Notes!$B$2,Notes!$I$2:$I$11,0),4)*$C170</f>
        <v>1152984</v>
      </c>
      <c r="K170" s="22">
        <f>INDEX(Notes!$I$2:$N$11,MATCH(Notes!$B$2,Notes!$I$2:$I$11,0),5)*$D170</f>
        <v>572658</v>
      </c>
      <c r="L170" s="22">
        <f>INDEX(Notes!$I$2:$N$11,MATCH(Notes!$B$2,Notes!$I$2:$I$11,0),6)*$E170</f>
        <v>858984</v>
      </c>
      <c r="M170" s="22">
        <f>IF(Notes!$B$2="June",'Payment Total'!$F170,0)</f>
        <v>286329</v>
      </c>
      <c r="N170" s="22">
        <f t="shared" si="14"/>
        <v>0</v>
      </c>
      <c r="P170" s="26">
        <v>36090000</v>
      </c>
      <c r="Q170" s="26">
        <v>286329</v>
      </c>
      <c r="R170" s="21" t="str">
        <f t="shared" si="15"/>
        <v>3609</v>
      </c>
      <c r="S170" s="44" t="str">
        <f t="shared" si="16"/>
        <v>3609</v>
      </c>
      <c r="T170" s="20">
        <f t="shared" si="17"/>
        <v>0</v>
      </c>
      <c r="V170" s="46" t="s">
        <v>972</v>
      </c>
      <c r="W170" s="26">
        <v>1156496</v>
      </c>
      <c r="X170" s="21" t="str">
        <f t="shared" si="18"/>
        <v>3645</v>
      </c>
      <c r="Y170" s="44" t="str">
        <f t="shared" si="19"/>
        <v>3645</v>
      </c>
      <c r="Z170" s="45">
        <f t="shared" si="20"/>
        <v>0</v>
      </c>
    </row>
    <row r="171" spans="1:26" s="26" customFormat="1" ht="12.75" x14ac:dyDescent="0.2">
      <c r="A171" s="20" t="str">
        <f>Data!B166</f>
        <v>3645</v>
      </c>
      <c r="B171" s="21" t="str">
        <f>INDEX(Data[],MATCH($A171,Data[Dist],0),MATCH(B$6,Data[#Headers],0))</f>
        <v>Lewis Central</v>
      </c>
      <c r="C171" s="22">
        <f>INDEX(Data[],MATCH($A171,Data[Dist],0),MATCH(C$6,Data[#Headers],0))</f>
        <v>1226470</v>
      </c>
      <c r="D171" s="164">
        <f>INDEX(Data[],MATCH($A171,Data[Dist],0),MATCH(D$6,Data[#Headers],0))</f>
        <v>1216164</v>
      </c>
      <c r="E171" s="164">
        <f>INDEX(Data[],MATCH($A171,Data[Dist],0),MATCH(E$6,Data[#Headers],0))</f>
        <v>1156498</v>
      </c>
      <c r="F171" s="164">
        <f>INDEX(Data[],MATCH($A171,Data[Dist],0),MATCH(F$6,Data[#Headers],0))</f>
        <v>1156496</v>
      </c>
      <c r="G171" s="22">
        <f>INDEX(Data[],MATCH($A171,Data[Dist],0),MATCH(G$6,Data[#Headers],0))</f>
        <v>11964198</v>
      </c>
      <c r="H171" s="22">
        <f>INDEX(Data[],MATCH($A171,Data[Dist],0),MATCH(H$6,Data[#Headers],0))-G171</f>
        <v>0</v>
      </c>
      <c r="I171" s="25"/>
      <c r="J171" s="22">
        <f>INDEX(Notes!$I$2:$N$11,MATCH(Notes!$B$2,Notes!$I$2:$I$11,0),4)*$C171</f>
        <v>4905880</v>
      </c>
      <c r="K171" s="22">
        <f>INDEX(Notes!$I$2:$N$11,MATCH(Notes!$B$2,Notes!$I$2:$I$11,0),5)*$D171</f>
        <v>2432328</v>
      </c>
      <c r="L171" s="22">
        <f>INDEX(Notes!$I$2:$N$11,MATCH(Notes!$B$2,Notes!$I$2:$I$11,0),6)*$E171</f>
        <v>3469494</v>
      </c>
      <c r="M171" s="22">
        <f>IF(Notes!$B$2="June",'Payment Total'!$F171,0)</f>
        <v>1156496</v>
      </c>
      <c r="N171" s="22">
        <f t="shared" si="14"/>
        <v>0</v>
      </c>
      <c r="P171" s="26">
        <v>36450000</v>
      </c>
      <c r="Q171" s="26">
        <v>1156496</v>
      </c>
      <c r="R171" s="21" t="str">
        <f t="shared" si="15"/>
        <v>3645</v>
      </c>
      <c r="S171" s="44" t="str">
        <f t="shared" si="16"/>
        <v>3645</v>
      </c>
      <c r="T171" s="20">
        <f t="shared" si="17"/>
        <v>0</v>
      </c>
      <c r="V171" s="46" t="s">
        <v>1016</v>
      </c>
      <c r="W171" s="26">
        <v>450833</v>
      </c>
      <c r="X171" s="21" t="str">
        <f t="shared" si="18"/>
        <v>3691</v>
      </c>
      <c r="Y171" s="44" t="str">
        <f t="shared" si="19"/>
        <v>3691</v>
      </c>
      <c r="Z171" s="45">
        <f t="shared" si="20"/>
        <v>0</v>
      </c>
    </row>
    <row r="172" spans="1:26" s="26" customFormat="1" ht="12.75" x14ac:dyDescent="0.2">
      <c r="A172" s="20" t="str">
        <f>Data!B167</f>
        <v>3691</v>
      </c>
      <c r="B172" s="21" t="str">
        <f>INDEX(Data[],MATCH($A172,Data[Dist],0),MATCH(B$6,Data[#Headers],0))</f>
        <v>North Cedar</v>
      </c>
      <c r="C172" s="22">
        <f>INDEX(Data[],MATCH($A172,Data[Dist],0),MATCH(C$6,Data[#Headers],0))</f>
        <v>454226</v>
      </c>
      <c r="D172" s="164">
        <f>INDEX(Data[],MATCH($A172,Data[Dist],0),MATCH(D$6,Data[#Headers],0))</f>
        <v>450832</v>
      </c>
      <c r="E172" s="164">
        <f>INDEX(Data[],MATCH($A172,Data[Dist],0),MATCH(E$6,Data[#Headers],0))</f>
        <v>450832</v>
      </c>
      <c r="F172" s="164">
        <f>INDEX(Data[],MATCH($A172,Data[Dist],0),MATCH(F$6,Data[#Headers],0))</f>
        <v>450833</v>
      </c>
      <c r="G172" s="22">
        <f>INDEX(Data[],MATCH($A172,Data[Dist],0),MATCH(G$6,Data[#Headers],0))</f>
        <v>4521897</v>
      </c>
      <c r="H172" s="22">
        <f>INDEX(Data[],MATCH($A172,Data[Dist],0),MATCH(H$6,Data[#Headers],0))-G172</f>
        <v>0</v>
      </c>
      <c r="I172" s="25"/>
      <c r="J172" s="22">
        <f>INDEX(Notes!$I$2:$N$11,MATCH(Notes!$B$2,Notes!$I$2:$I$11,0),4)*$C172</f>
        <v>1816904</v>
      </c>
      <c r="K172" s="22">
        <f>INDEX(Notes!$I$2:$N$11,MATCH(Notes!$B$2,Notes!$I$2:$I$11,0),5)*$D172</f>
        <v>901664</v>
      </c>
      <c r="L172" s="22">
        <f>INDEX(Notes!$I$2:$N$11,MATCH(Notes!$B$2,Notes!$I$2:$I$11,0),6)*$E172</f>
        <v>1352496</v>
      </c>
      <c r="M172" s="22">
        <f>IF(Notes!$B$2="June",'Payment Total'!$F172,0)</f>
        <v>450833</v>
      </c>
      <c r="N172" s="22">
        <f t="shared" si="14"/>
        <v>0</v>
      </c>
      <c r="P172" s="26">
        <v>36910000</v>
      </c>
      <c r="Q172" s="26">
        <v>450833</v>
      </c>
      <c r="R172" s="21" t="str">
        <f t="shared" si="15"/>
        <v>3691</v>
      </c>
      <c r="S172" s="44" t="str">
        <f t="shared" si="16"/>
        <v>3691</v>
      </c>
      <c r="T172" s="20">
        <f t="shared" si="17"/>
        <v>0</v>
      </c>
      <c r="V172" s="46" t="s">
        <v>973</v>
      </c>
      <c r="W172" s="26">
        <v>4415765</v>
      </c>
      <c r="X172" s="21" t="str">
        <f t="shared" si="18"/>
        <v>3715</v>
      </c>
      <c r="Y172" s="44" t="str">
        <f t="shared" si="19"/>
        <v>3715</v>
      </c>
      <c r="Z172" s="45">
        <f t="shared" si="20"/>
        <v>0</v>
      </c>
    </row>
    <row r="173" spans="1:26" s="26" customFormat="1" ht="12.75" x14ac:dyDescent="0.2">
      <c r="A173" s="20" t="str">
        <f>Data!B168</f>
        <v>3715</v>
      </c>
      <c r="B173" s="21" t="str">
        <f>INDEX(Data[],MATCH($A173,Data[Dist],0),MATCH(B$6,Data[#Headers],0))</f>
        <v>Linn-Mar</v>
      </c>
      <c r="C173" s="22">
        <f>INDEX(Data[],MATCH($A173,Data[Dist],0),MATCH(C$6,Data[#Headers],0))</f>
        <v>4446723</v>
      </c>
      <c r="D173" s="164">
        <f>INDEX(Data[],MATCH($A173,Data[Dist],0),MATCH(D$6,Data[#Headers],0))</f>
        <v>4415765</v>
      </c>
      <c r="E173" s="164">
        <f>INDEX(Data[],MATCH($A173,Data[Dist],0),MATCH(E$6,Data[#Headers],0))</f>
        <v>4415765</v>
      </c>
      <c r="F173" s="164">
        <f>INDEX(Data[],MATCH($A173,Data[Dist],0),MATCH(F$6,Data[#Headers],0))</f>
        <v>4415765</v>
      </c>
      <c r="G173" s="22">
        <f>INDEX(Data[],MATCH($A173,Data[Dist],0),MATCH(G$6,Data[#Headers],0))</f>
        <v>44281482</v>
      </c>
      <c r="H173" s="22">
        <f>INDEX(Data[],MATCH($A173,Data[Dist],0),MATCH(H$6,Data[#Headers],0))-G173</f>
        <v>0</v>
      </c>
      <c r="I173" s="25"/>
      <c r="J173" s="22">
        <f>INDEX(Notes!$I$2:$N$11,MATCH(Notes!$B$2,Notes!$I$2:$I$11,0),4)*$C173</f>
        <v>17786892</v>
      </c>
      <c r="K173" s="22">
        <f>INDEX(Notes!$I$2:$N$11,MATCH(Notes!$B$2,Notes!$I$2:$I$11,0),5)*$D173</f>
        <v>8831530</v>
      </c>
      <c r="L173" s="22">
        <f>INDEX(Notes!$I$2:$N$11,MATCH(Notes!$B$2,Notes!$I$2:$I$11,0),6)*$E173</f>
        <v>13247295</v>
      </c>
      <c r="M173" s="22">
        <f>IF(Notes!$B$2="June",'Payment Total'!$F173,0)</f>
        <v>4415765</v>
      </c>
      <c r="N173" s="22">
        <f t="shared" si="14"/>
        <v>0</v>
      </c>
      <c r="P173" s="26">
        <v>37150000</v>
      </c>
      <c r="Q173" s="26">
        <v>4415765</v>
      </c>
      <c r="R173" s="21" t="str">
        <f t="shared" si="15"/>
        <v>3715</v>
      </c>
      <c r="S173" s="44" t="str">
        <f t="shared" si="16"/>
        <v>3715</v>
      </c>
      <c r="T173" s="20">
        <f t="shared" si="17"/>
        <v>0</v>
      </c>
      <c r="V173" s="46" t="s">
        <v>974</v>
      </c>
      <c r="W173" s="26">
        <v>392394</v>
      </c>
      <c r="X173" s="21" t="str">
        <f t="shared" si="18"/>
        <v>3744</v>
      </c>
      <c r="Y173" s="44" t="str">
        <f t="shared" si="19"/>
        <v>3744</v>
      </c>
      <c r="Z173" s="45">
        <f t="shared" si="20"/>
        <v>0</v>
      </c>
    </row>
    <row r="174" spans="1:26" s="26" customFormat="1" ht="12.75" x14ac:dyDescent="0.2">
      <c r="A174" s="20" t="str">
        <f>Data!B169</f>
        <v>3744</v>
      </c>
      <c r="B174" s="21" t="str">
        <f>INDEX(Data[],MATCH($A174,Data[Dist],0),MATCH(B$6,Data[#Headers],0))</f>
        <v>Lisbon</v>
      </c>
      <c r="C174" s="22">
        <f>INDEX(Data[],MATCH($A174,Data[Dist],0),MATCH(C$6,Data[#Headers],0))</f>
        <v>395083</v>
      </c>
      <c r="D174" s="164">
        <f>INDEX(Data[],MATCH($A174,Data[Dist],0),MATCH(D$6,Data[#Headers],0))</f>
        <v>392396</v>
      </c>
      <c r="E174" s="164">
        <f>INDEX(Data[],MATCH($A174,Data[Dist],0),MATCH(E$6,Data[#Headers],0))</f>
        <v>392396</v>
      </c>
      <c r="F174" s="164">
        <f>INDEX(Data[],MATCH($A174,Data[Dist],0),MATCH(F$6,Data[#Headers],0))</f>
        <v>392394</v>
      </c>
      <c r="G174" s="22">
        <f>INDEX(Data[],MATCH($A174,Data[Dist],0),MATCH(G$6,Data[#Headers],0))</f>
        <v>3934706</v>
      </c>
      <c r="H174" s="22">
        <f>INDEX(Data[],MATCH($A174,Data[Dist],0),MATCH(H$6,Data[#Headers],0))-G174</f>
        <v>0</v>
      </c>
      <c r="I174" s="25"/>
      <c r="J174" s="22">
        <f>INDEX(Notes!$I$2:$N$11,MATCH(Notes!$B$2,Notes!$I$2:$I$11,0),4)*$C174</f>
        <v>1580332</v>
      </c>
      <c r="K174" s="22">
        <f>INDEX(Notes!$I$2:$N$11,MATCH(Notes!$B$2,Notes!$I$2:$I$11,0),5)*$D174</f>
        <v>784792</v>
      </c>
      <c r="L174" s="22">
        <f>INDEX(Notes!$I$2:$N$11,MATCH(Notes!$B$2,Notes!$I$2:$I$11,0),6)*$E174</f>
        <v>1177188</v>
      </c>
      <c r="M174" s="22">
        <f>IF(Notes!$B$2="June",'Payment Total'!$F174,0)</f>
        <v>392394</v>
      </c>
      <c r="N174" s="22">
        <f t="shared" si="14"/>
        <v>0</v>
      </c>
      <c r="P174" s="26">
        <v>37440000</v>
      </c>
      <c r="Q174" s="26">
        <v>392394</v>
      </c>
      <c r="R174" s="21" t="str">
        <f t="shared" si="15"/>
        <v>3744</v>
      </c>
      <c r="S174" s="44" t="str">
        <f t="shared" si="16"/>
        <v>3744</v>
      </c>
      <c r="T174" s="20">
        <f t="shared" si="17"/>
        <v>0</v>
      </c>
      <c r="V174" s="46" t="s">
        <v>975</v>
      </c>
      <c r="W174" s="26">
        <v>345130</v>
      </c>
      <c r="X174" s="21" t="str">
        <f t="shared" si="18"/>
        <v>3798</v>
      </c>
      <c r="Y174" s="44" t="str">
        <f t="shared" si="19"/>
        <v>3798</v>
      </c>
      <c r="Z174" s="45">
        <f t="shared" si="20"/>
        <v>0</v>
      </c>
    </row>
    <row r="175" spans="1:26" s="26" customFormat="1" ht="12.75" x14ac:dyDescent="0.2">
      <c r="A175" s="20" t="str">
        <f>Data!B170</f>
        <v>3798</v>
      </c>
      <c r="B175" s="21" t="str">
        <f>INDEX(Data[],MATCH($A175,Data[Dist],0),MATCH(B$6,Data[#Headers],0))</f>
        <v>Logan-Magnolia</v>
      </c>
      <c r="C175" s="22">
        <f>INDEX(Data[],MATCH($A175,Data[Dist],0),MATCH(C$6,Data[#Headers],0))</f>
        <v>347480</v>
      </c>
      <c r="D175" s="164">
        <f>INDEX(Data[],MATCH($A175,Data[Dist],0),MATCH(D$6,Data[#Headers],0))</f>
        <v>345132</v>
      </c>
      <c r="E175" s="164">
        <f>INDEX(Data[],MATCH($A175,Data[Dist],0),MATCH(E$6,Data[#Headers],0))</f>
        <v>345132</v>
      </c>
      <c r="F175" s="164">
        <f>INDEX(Data[],MATCH($A175,Data[Dist],0),MATCH(F$6,Data[#Headers],0))</f>
        <v>345130</v>
      </c>
      <c r="G175" s="22">
        <f>INDEX(Data[],MATCH($A175,Data[Dist],0),MATCH(G$6,Data[#Headers],0))</f>
        <v>3460710</v>
      </c>
      <c r="H175" s="22">
        <f>INDEX(Data[],MATCH($A175,Data[Dist],0),MATCH(H$6,Data[#Headers],0))-G175</f>
        <v>0</v>
      </c>
      <c r="I175" s="25"/>
      <c r="J175" s="22">
        <f>INDEX(Notes!$I$2:$N$11,MATCH(Notes!$B$2,Notes!$I$2:$I$11,0),4)*$C175</f>
        <v>1389920</v>
      </c>
      <c r="K175" s="22">
        <f>INDEX(Notes!$I$2:$N$11,MATCH(Notes!$B$2,Notes!$I$2:$I$11,0),5)*$D175</f>
        <v>690264</v>
      </c>
      <c r="L175" s="22">
        <f>INDEX(Notes!$I$2:$N$11,MATCH(Notes!$B$2,Notes!$I$2:$I$11,0),6)*$E175</f>
        <v>1035396</v>
      </c>
      <c r="M175" s="22">
        <f>IF(Notes!$B$2="June",'Payment Total'!$F175,0)</f>
        <v>345130</v>
      </c>
      <c r="N175" s="22">
        <f t="shared" si="14"/>
        <v>0</v>
      </c>
      <c r="P175" s="26">
        <v>37980000</v>
      </c>
      <c r="Q175" s="26">
        <v>345130</v>
      </c>
      <c r="R175" s="21" t="str">
        <f t="shared" si="15"/>
        <v>3798</v>
      </c>
      <c r="S175" s="44" t="str">
        <f t="shared" si="16"/>
        <v>3798</v>
      </c>
      <c r="T175" s="20">
        <f t="shared" si="17"/>
        <v>0</v>
      </c>
      <c r="V175" s="46" t="s">
        <v>976</v>
      </c>
      <c r="W175" s="26">
        <v>202649</v>
      </c>
      <c r="X175" s="21" t="str">
        <f t="shared" si="18"/>
        <v>3816</v>
      </c>
      <c r="Y175" s="44" t="str">
        <f t="shared" si="19"/>
        <v>3816</v>
      </c>
      <c r="Z175" s="45">
        <f t="shared" si="20"/>
        <v>0</v>
      </c>
    </row>
    <row r="176" spans="1:26" s="26" customFormat="1" ht="12.75" x14ac:dyDescent="0.2">
      <c r="A176" s="20" t="str">
        <f>Data!B171</f>
        <v>3816</v>
      </c>
      <c r="B176" s="21" t="str">
        <f>INDEX(Data[],MATCH($A176,Data[Dist],0),MATCH(B$6,Data[#Headers],0))</f>
        <v>Lone Tree</v>
      </c>
      <c r="C176" s="22">
        <f>INDEX(Data[],MATCH($A176,Data[Dist],0),MATCH(C$6,Data[#Headers],0))</f>
        <v>204173</v>
      </c>
      <c r="D176" s="164">
        <f>INDEX(Data[],MATCH($A176,Data[Dist],0),MATCH(D$6,Data[#Headers],0))</f>
        <v>202649</v>
      </c>
      <c r="E176" s="164">
        <f>INDEX(Data[],MATCH($A176,Data[Dist],0),MATCH(E$6,Data[#Headers],0))</f>
        <v>202648</v>
      </c>
      <c r="F176" s="164">
        <f>INDEX(Data[],MATCH($A176,Data[Dist],0),MATCH(F$6,Data[#Headers],0))</f>
        <v>202649</v>
      </c>
      <c r="G176" s="22">
        <f>INDEX(Data[],MATCH($A176,Data[Dist],0),MATCH(G$6,Data[#Headers],0))</f>
        <v>2032583</v>
      </c>
      <c r="H176" s="22">
        <f>INDEX(Data[],MATCH($A176,Data[Dist],0),MATCH(H$6,Data[#Headers],0))-G176</f>
        <v>0</v>
      </c>
      <c r="I176" s="25"/>
      <c r="J176" s="22">
        <f>INDEX(Notes!$I$2:$N$11,MATCH(Notes!$B$2,Notes!$I$2:$I$11,0),4)*$C176</f>
        <v>816692</v>
      </c>
      <c r="K176" s="22">
        <f>INDEX(Notes!$I$2:$N$11,MATCH(Notes!$B$2,Notes!$I$2:$I$11,0),5)*$D176</f>
        <v>405298</v>
      </c>
      <c r="L176" s="22">
        <f>INDEX(Notes!$I$2:$N$11,MATCH(Notes!$B$2,Notes!$I$2:$I$11,0),6)*$E176</f>
        <v>607944</v>
      </c>
      <c r="M176" s="22">
        <f>IF(Notes!$B$2="June",'Payment Total'!$F176,0)</f>
        <v>202649</v>
      </c>
      <c r="N176" s="22">
        <f t="shared" si="14"/>
        <v>0</v>
      </c>
      <c r="P176" s="26">
        <v>38160000</v>
      </c>
      <c r="Q176" s="26">
        <v>202649</v>
      </c>
      <c r="R176" s="21" t="str">
        <f t="shared" si="15"/>
        <v>3816</v>
      </c>
      <c r="S176" s="44" t="str">
        <f t="shared" si="16"/>
        <v>3816</v>
      </c>
      <c r="T176" s="20">
        <f t="shared" si="17"/>
        <v>0</v>
      </c>
      <c r="V176" s="46" t="s">
        <v>977</v>
      </c>
      <c r="W176" s="26">
        <v>449320</v>
      </c>
      <c r="X176" s="21" t="str">
        <f t="shared" si="18"/>
        <v>3841</v>
      </c>
      <c r="Y176" s="44" t="str">
        <f t="shared" si="19"/>
        <v>3841</v>
      </c>
      <c r="Z176" s="45">
        <f t="shared" si="20"/>
        <v>0</v>
      </c>
    </row>
    <row r="177" spans="1:26" s="26" customFormat="1" ht="12.75" x14ac:dyDescent="0.2">
      <c r="A177" s="20" t="str">
        <f>Data!B172</f>
        <v>3841</v>
      </c>
      <c r="B177" s="21" t="str">
        <f>INDEX(Data[],MATCH($A177,Data[Dist],0),MATCH(B$6,Data[#Headers],0))</f>
        <v>Louisa-Muscatine</v>
      </c>
      <c r="C177" s="22">
        <f>INDEX(Data[],MATCH($A177,Data[Dist],0),MATCH(C$6,Data[#Headers],0))</f>
        <v>452401</v>
      </c>
      <c r="D177" s="164">
        <f>INDEX(Data[],MATCH($A177,Data[Dist],0),MATCH(D$6,Data[#Headers],0))</f>
        <v>449320</v>
      </c>
      <c r="E177" s="164">
        <f>INDEX(Data[],MATCH($A177,Data[Dist],0),MATCH(E$6,Data[#Headers],0))</f>
        <v>449320</v>
      </c>
      <c r="F177" s="164">
        <f>INDEX(Data[],MATCH($A177,Data[Dist],0),MATCH(F$6,Data[#Headers],0))</f>
        <v>449320</v>
      </c>
      <c r="G177" s="22">
        <f>INDEX(Data[],MATCH($A177,Data[Dist],0),MATCH(G$6,Data[#Headers],0))</f>
        <v>4505524</v>
      </c>
      <c r="H177" s="22">
        <f>INDEX(Data[],MATCH($A177,Data[Dist],0),MATCH(H$6,Data[#Headers],0))-G177</f>
        <v>0</v>
      </c>
      <c r="I177" s="25"/>
      <c r="J177" s="22">
        <f>INDEX(Notes!$I$2:$N$11,MATCH(Notes!$B$2,Notes!$I$2:$I$11,0),4)*$C177</f>
        <v>1809604</v>
      </c>
      <c r="K177" s="22">
        <f>INDEX(Notes!$I$2:$N$11,MATCH(Notes!$B$2,Notes!$I$2:$I$11,0),5)*$D177</f>
        <v>898640</v>
      </c>
      <c r="L177" s="22">
        <f>INDEX(Notes!$I$2:$N$11,MATCH(Notes!$B$2,Notes!$I$2:$I$11,0),6)*$E177</f>
        <v>1347960</v>
      </c>
      <c r="M177" s="22">
        <f>IF(Notes!$B$2="June",'Payment Total'!$F177,0)</f>
        <v>449320</v>
      </c>
      <c r="N177" s="22">
        <f t="shared" si="14"/>
        <v>0</v>
      </c>
      <c r="P177" s="26">
        <v>38410000</v>
      </c>
      <c r="Q177" s="26">
        <v>449320</v>
      </c>
      <c r="R177" s="21" t="str">
        <f t="shared" si="15"/>
        <v>3841</v>
      </c>
      <c r="S177" s="44" t="str">
        <f t="shared" si="16"/>
        <v>3841</v>
      </c>
      <c r="T177" s="20">
        <f t="shared" si="17"/>
        <v>0</v>
      </c>
      <c r="V177" s="46" t="s">
        <v>978</v>
      </c>
      <c r="W177" s="26">
        <v>47863</v>
      </c>
      <c r="X177" s="21" t="str">
        <f t="shared" si="18"/>
        <v>3897</v>
      </c>
      <c r="Y177" s="44" t="str">
        <f t="shared" si="19"/>
        <v>3897</v>
      </c>
      <c r="Z177" s="45">
        <f t="shared" si="20"/>
        <v>0</v>
      </c>
    </row>
    <row r="178" spans="1:26" s="26" customFormat="1" ht="12.75" x14ac:dyDescent="0.2">
      <c r="A178" s="20" t="str">
        <f>Data!B173</f>
        <v>3897</v>
      </c>
      <c r="B178" s="21" t="str">
        <f>INDEX(Data[],MATCH($A178,Data[Dist],0),MATCH(B$6,Data[#Headers],0))</f>
        <v>Lu Verne</v>
      </c>
      <c r="C178" s="22">
        <f>INDEX(Data[],MATCH($A178,Data[Dist],0),MATCH(C$6,Data[#Headers],0))</f>
        <v>48550</v>
      </c>
      <c r="D178" s="164">
        <f>INDEX(Data[],MATCH($A178,Data[Dist],0),MATCH(D$6,Data[#Headers],0))</f>
        <v>47862</v>
      </c>
      <c r="E178" s="164">
        <f>INDEX(Data[],MATCH($A178,Data[Dist],0),MATCH(E$6,Data[#Headers],0))</f>
        <v>47862</v>
      </c>
      <c r="F178" s="164">
        <f>INDEX(Data[],MATCH($A178,Data[Dist],0),MATCH(F$6,Data[#Headers],0))</f>
        <v>47863</v>
      </c>
      <c r="G178" s="22">
        <f>INDEX(Data[],MATCH($A178,Data[Dist],0),MATCH(G$6,Data[#Headers],0))</f>
        <v>481373</v>
      </c>
      <c r="H178" s="22">
        <f>INDEX(Data[],MATCH($A178,Data[Dist],0),MATCH(H$6,Data[#Headers],0))-G178</f>
        <v>0</v>
      </c>
      <c r="I178" s="25"/>
      <c r="J178" s="22">
        <f>INDEX(Notes!$I$2:$N$11,MATCH(Notes!$B$2,Notes!$I$2:$I$11,0),4)*$C178</f>
        <v>194200</v>
      </c>
      <c r="K178" s="22">
        <f>INDEX(Notes!$I$2:$N$11,MATCH(Notes!$B$2,Notes!$I$2:$I$11,0),5)*$D178</f>
        <v>95724</v>
      </c>
      <c r="L178" s="22">
        <f>INDEX(Notes!$I$2:$N$11,MATCH(Notes!$B$2,Notes!$I$2:$I$11,0),6)*$E178</f>
        <v>143586</v>
      </c>
      <c r="M178" s="22">
        <f>IF(Notes!$B$2="June",'Payment Total'!$F178,0)</f>
        <v>47863</v>
      </c>
      <c r="N178" s="22">
        <f t="shared" si="14"/>
        <v>0</v>
      </c>
      <c r="P178" s="26">
        <v>38970000</v>
      </c>
      <c r="Q178" s="26">
        <v>47863</v>
      </c>
      <c r="R178" s="21" t="str">
        <f t="shared" si="15"/>
        <v>3897</v>
      </c>
      <c r="S178" s="44" t="str">
        <f t="shared" si="16"/>
        <v>3897</v>
      </c>
      <c r="T178" s="20">
        <f t="shared" si="17"/>
        <v>0</v>
      </c>
      <c r="V178" s="46" t="s">
        <v>979</v>
      </c>
      <c r="W178" s="26">
        <v>264724</v>
      </c>
      <c r="X178" s="21" t="str">
        <f t="shared" si="18"/>
        <v>3906</v>
      </c>
      <c r="Y178" s="44" t="str">
        <f t="shared" si="19"/>
        <v>3906</v>
      </c>
      <c r="Z178" s="45">
        <f t="shared" si="20"/>
        <v>0</v>
      </c>
    </row>
    <row r="179" spans="1:26" s="26" customFormat="1" ht="12.75" x14ac:dyDescent="0.2">
      <c r="A179" s="20" t="str">
        <f>Data!B174</f>
        <v>3906</v>
      </c>
      <c r="B179" s="21" t="str">
        <f>INDEX(Data[],MATCH($A179,Data[Dist],0),MATCH(B$6,Data[#Headers],0))</f>
        <v>Lynnville-Sully</v>
      </c>
      <c r="C179" s="22">
        <f>INDEX(Data[],MATCH($A179,Data[Dist],0),MATCH(C$6,Data[#Headers],0))</f>
        <v>266651</v>
      </c>
      <c r="D179" s="164">
        <f>INDEX(Data[],MATCH($A179,Data[Dist],0),MATCH(D$6,Data[#Headers],0))</f>
        <v>264725</v>
      </c>
      <c r="E179" s="164">
        <f>INDEX(Data[],MATCH($A179,Data[Dist],0),MATCH(E$6,Data[#Headers],0))</f>
        <v>264725</v>
      </c>
      <c r="F179" s="164">
        <f>INDEX(Data[],MATCH($A179,Data[Dist],0),MATCH(F$6,Data[#Headers],0))</f>
        <v>264724</v>
      </c>
      <c r="G179" s="22">
        <f>INDEX(Data[],MATCH($A179,Data[Dist],0),MATCH(G$6,Data[#Headers],0))</f>
        <v>2654953</v>
      </c>
      <c r="H179" s="22">
        <f>INDEX(Data[],MATCH($A179,Data[Dist],0),MATCH(H$6,Data[#Headers],0))-G179</f>
        <v>0</v>
      </c>
      <c r="I179" s="25"/>
      <c r="J179" s="22">
        <f>INDEX(Notes!$I$2:$N$11,MATCH(Notes!$B$2,Notes!$I$2:$I$11,0),4)*$C179</f>
        <v>1066604</v>
      </c>
      <c r="K179" s="22">
        <f>INDEX(Notes!$I$2:$N$11,MATCH(Notes!$B$2,Notes!$I$2:$I$11,0),5)*$D179</f>
        <v>529450</v>
      </c>
      <c r="L179" s="22">
        <f>INDEX(Notes!$I$2:$N$11,MATCH(Notes!$B$2,Notes!$I$2:$I$11,0),6)*$E179</f>
        <v>794175</v>
      </c>
      <c r="M179" s="22">
        <f>IF(Notes!$B$2="June",'Payment Total'!$F179,0)</f>
        <v>264724</v>
      </c>
      <c r="N179" s="22">
        <f t="shared" si="14"/>
        <v>0</v>
      </c>
      <c r="P179" s="26">
        <v>39060000</v>
      </c>
      <c r="Q179" s="26">
        <v>264724</v>
      </c>
      <c r="R179" s="21" t="str">
        <f t="shared" si="15"/>
        <v>3906</v>
      </c>
      <c r="S179" s="44" t="str">
        <f t="shared" si="16"/>
        <v>3906</v>
      </c>
      <c r="T179" s="20">
        <f t="shared" si="17"/>
        <v>0</v>
      </c>
      <c r="V179" s="46" t="s">
        <v>980</v>
      </c>
      <c r="W179" s="26">
        <v>465904</v>
      </c>
      <c r="X179" s="21" t="str">
        <f t="shared" si="18"/>
        <v>3942</v>
      </c>
      <c r="Y179" s="44" t="str">
        <f t="shared" si="19"/>
        <v>3942</v>
      </c>
      <c r="Z179" s="45">
        <f t="shared" si="20"/>
        <v>0</v>
      </c>
    </row>
    <row r="180" spans="1:26" s="26" customFormat="1" ht="12.75" x14ac:dyDescent="0.2">
      <c r="A180" s="20" t="str">
        <f>Data!B175</f>
        <v>3942</v>
      </c>
      <c r="B180" s="21" t="str">
        <f>INDEX(Data[],MATCH($A180,Data[Dist],0),MATCH(B$6,Data[#Headers],0))</f>
        <v>Madrid</v>
      </c>
      <c r="C180" s="22">
        <f>INDEX(Data[],MATCH($A180,Data[Dist],0),MATCH(C$6,Data[#Headers],0))</f>
        <v>468752</v>
      </c>
      <c r="D180" s="164">
        <f>INDEX(Data[],MATCH($A180,Data[Dist],0),MATCH(D$6,Data[#Headers],0))</f>
        <v>465905</v>
      </c>
      <c r="E180" s="164">
        <f>INDEX(Data[],MATCH($A180,Data[Dist],0),MATCH(E$6,Data[#Headers],0))</f>
        <v>465906</v>
      </c>
      <c r="F180" s="164">
        <f>INDEX(Data[],MATCH($A180,Data[Dist],0),MATCH(F$6,Data[#Headers],0))</f>
        <v>465904</v>
      </c>
      <c r="G180" s="22">
        <f>INDEX(Data[],MATCH($A180,Data[Dist],0),MATCH(G$6,Data[#Headers],0))</f>
        <v>4670440</v>
      </c>
      <c r="H180" s="22">
        <f>INDEX(Data[],MATCH($A180,Data[Dist],0),MATCH(H$6,Data[#Headers],0))-G180</f>
        <v>0</v>
      </c>
      <c r="I180" s="25"/>
      <c r="J180" s="22">
        <f>INDEX(Notes!$I$2:$N$11,MATCH(Notes!$B$2,Notes!$I$2:$I$11,0),4)*$C180</f>
        <v>1875008</v>
      </c>
      <c r="K180" s="22">
        <f>INDEX(Notes!$I$2:$N$11,MATCH(Notes!$B$2,Notes!$I$2:$I$11,0),5)*$D180</f>
        <v>931810</v>
      </c>
      <c r="L180" s="22">
        <f>INDEX(Notes!$I$2:$N$11,MATCH(Notes!$B$2,Notes!$I$2:$I$11,0),6)*$E180</f>
        <v>1397718</v>
      </c>
      <c r="M180" s="22">
        <f>IF(Notes!$B$2="June",'Payment Total'!$F180,0)</f>
        <v>465904</v>
      </c>
      <c r="N180" s="22">
        <f t="shared" si="14"/>
        <v>0</v>
      </c>
      <c r="P180" s="26">
        <v>39420000</v>
      </c>
      <c r="Q180" s="26">
        <v>465904</v>
      </c>
      <c r="R180" s="21" t="str">
        <f t="shared" si="15"/>
        <v>3942</v>
      </c>
      <c r="S180" s="44" t="str">
        <f t="shared" si="16"/>
        <v>3942</v>
      </c>
      <c r="T180" s="20">
        <f t="shared" si="17"/>
        <v>0</v>
      </c>
      <c r="V180" s="46" t="s">
        <v>906</v>
      </c>
      <c r="W180" s="26">
        <v>278042</v>
      </c>
      <c r="X180" s="21" t="str">
        <f t="shared" si="18"/>
        <v>3978</v>
      </c>
      <c r="Y180" s="44" t="str">
        <f t="shared" si="19"/>
        <v>3978</v>
      </c>
      <c r="Z180" s="45">
        <f t="shared" si="20"/>
        <v>0</v>
      </c>
    </row>
    <row r="181" spans="1:26" s="26" customFormat="1" ht="12.75" x14ac:dyDescent="0.2">
      <c r="A181" s="20" t="str">
        <f>Data!B176</f>
        <v>3978</v>
      </c>
      <c r="B181" s="21" t="str">
        <f>INDEX(Data[],MATCH($A181,Data[Dist],0),MATCH(B$6,Data[#Headers],0))</f>
        <v>East Mills</v>
      </c>
      <c r="C181" s="22">
        <f>INDEX(Data[],MATCH($A181,Data[Dist],0),MATCH(C$6,Data[#Headers],0))</f>
        <v>280318</v>
      </c>
      <c r="D181" s="164">
        <f>INDEX(Data[],MATCH($A181,Data[Dist],0),MATCH(D$6,Data[#Headers],0))</f>
        <v>278042</v>
      </c>
      <c r="E181" s="164">
        <f>INDEX(Data[],MATCH($A181,Data[Dist],0),MATCH(E$6,Data[#Headers],0))</f>
        <v>278042</v>
      </c>
      <c r="F181" s="164">
        <f>INDEX(Data[],MATCH($A181,Data[Dist],0),MATCH(F$6,Data[#Headers],0))</f>
        <v>278042</v>
      </c>
      <c r="G181" s="22">
        <f>INDEX(Data[],MATCH($A181,Data[Dist],0),MATCH(G$6,Data[#Headers],0))</f>
        <v>2789524</v>
      </c>
      <c r="H181" s="22">
        <f>INDEX(Data[],MATCH($A181,Data[Dist],0),MATCH(H$6,Data[#Headers],0))-G181</f>
        <v>0</v>
      </c>
      <c r="I181" s="25"/>
      <c r="J181" s="22">
        <f>INDEX(Notes!$I$2:$N$11,MATCH(Notes!$B$2,Notes!$I$2:$I$11,0),4)*$C181</f>
        <v>1121272</v>
      </c>
      <c r="K181" s="22">
        <f>INDEX(Notes!$I$2:$N$11,MATCH(Notes!$B$2,Notes!$I$2:$I$11,0),5)*$D181</f>
        <v>556084</v>
      </c>
      <c r="L181" s="22">
        <f>INDEX(Notes!$I$2:$N$11,MATCH(Notes!$B$2,Notes!$I$2:$I$11,0),6)*$E181</f>
        <v>834126</v>
      </c>
      <c r="M181" s="22">
        <f>IF(Notes!$B$2="June",'Payment Total'!$F181,0)</f>
        <v>278042</v>
      </c>
      <c r="N181" s="22">
        <f t="shared" si="14"/>
        <v>0</v>
      </c>
      <c r="P181" s="26">
        <v>39780000</v>
      </c>
      <c r="Q181" s="26">
        <v>278042</v>
      </c>
      <c r="R181" s="21" t="str">
        <f t="shared" si="15"/>
        <v>3978</v>
      </c>
      <c r="S181" s="44" t="str">
        <f t="shared" si="16"/>
        <v>3978</v>
      </c>
      <c r="T181" s="20">
        <f t="shared" si="17"/>
        <v>0</v>
      </c>
      <c r="V181" s="46" t="s">
        <v>981</v>
      </c>
      <c r="W181" s="26">
        <v>313599</v>
      </c>
      <c r="X181" s="21" t="str">
        <f t="shared" si="18"/>
        <v>4023</v>
      </c>
      <c r="Y181" s="44" t="str">
        <f t="shared" si="19"/>
        <v>4023</v>
      </c>
      <c r="Z181" s="45">
        <f t="shared" si="20"/>
        <v>0</v>
      </c>
    </row>
    <row r="182" spans="1:26" s="26" customFormat="1" ht="12.75" x14ac:dyDescent="0.2">
      <c r="A182" s="20" t="str">
        <f>Data!B177</f>
        <v>4023</v>
      </c>
      <c r="B182" s="21" t="str">
        <f>INDEX(Data[],MATCH($A182,Data[Dist],0),MATCH(B$6,Data[#Headers],0))</f>
        <v>Manson-Northwest Webster</v>
      </c>
      <c r="C182" s="22">
        <f>INDEX(Data[],MATCH($A182,Data[Dist],0),MATCH(C$6,Data[#Headers],0))</f>
        <v>316338</v>
      </c>
      <c r="D182" s="164">
        <f>INDEX(Data[],MATCH($A182,Data[Dist],0),MATCH(D$6,Data[#Headers],0))</f>
        <v>313599</v>
      </c>
      <c r="E182" s="164">
        <f>INDEX(Data[],MATCH($A182,Data[Dist],0),MATCH(E$6,Data[#Headers],0))</f>
        <v>313599</v>
      </c>
      <c r="F182" s="164">
        <f>INDEX(Data[],MATCH($A182,Data[Dist],0),MATCH(F$6,Data[#Headers],0))</f>
        <v>313599</v>
      </c>
      <c r="G182" s="22">
        <f>INDEX(Data[],MATCH($A182,Data[Dist],0),MATCH(G$6,Data[#Headers],0))</f>
        <v>3146946</v>
      </c>
      <c r="H182" s="22">
        <f>INDEX(Data[],MATCH($A182,Data[Dist],0),MATCH(H$6,Data[#Headers],0))-G182</f>
        <v>0</v>
      </c>
      <c r="I182" s="25"/>
      <c r="J182" s="22">
        <f>INDEX(Notes!$I$2:$N$11,MATCH(Notes!$B$2,Notes!$I$2:$I$11,0),4)*$C182</f>
        <v>1265352</v>
      </c>
      <c r="K182" s="22">
        <f>INDEX(Notes!$I$2:$N$11,MATCH(Notes!$B$2,Notes!$I$2:$I$11,0),5)*$D182</f>
        <v>627198</v>
      </c>
      <c r="L182" s="22">
        <f>INDEX(Notes!$I$2:$N$11,MATCH(Notes!$B$2,Notes!$I$2:$I$11,0),6)*$E182</f>
        <v>940797</v>
      </c>
      <c r="M182" s="22">
        <f>IF(Notes!$B$2="June",'Payment Total'!$F182,0)</f>
        <v>313599</v>
      </c>
      <c r="N182" s="22">
        <f t="shared" si="14"/>
        <v>0</v>
      </c>
      <c r="P182" s="26">
        <v>40230000</v>
      </c>
      <c r="Q182" s="26">
        <v>313599</v>
      </c>
      <c r="R182" s="21" t="str">
        <f t="shared" si="15"/>
        <v>4023</v>
      </c>
      <c r="S182" s="44" t="str">
        <f t="shared" si="16"/>
        <v>4023</v>
      </c>
      <c r="T182" s="20">
        <f t="shared" si="17"/>
        <v>0</v>
      </c>
      <c r="V182" s="46" t="s">
        <v>982</v>
      </c>
      <c r="W182" s="26">
        <v>363200</v>
      </c>
      <c r="X182" s="21" t="str">
        <f t="shared" si="18"/>
        <v>4033</v>
      </c>
      <c r="Y182" s="44" t="str">
        <f t="shared" si="19"/>
        <v>4033</v>
      </c>
      <c r="Z182" s="45">
        <f t="shared" si="20"/>
        <v>0</v>
      </c>
    </row>
    <row r="183" spans="1:26" s="26" customFormat="1" ht="12.75" x14ac:dyDescent="0.2">
      <c r="A183" s="20" t="str">
        <f>Data!B178</f>
        <v>4033</v>
      </c>
      <c r="B183" s="21" t="str">
        <f>INDEX(Data[],MATCH($A183,Data[Dist],0),MATCH(B$6,Data[#Headers],0))</f>
        <v>Maple Valley-Anthon Oto</v>
      </c>
      <c r="C183" s="22">
        <f>INDEX(Data[],MATCH($A183,Data[Dist],0),MATCH(C$6,Data[#Headers],0))</f>
        <v>365926</v>
      </c>
      <c r="D183" s="164">
        <f>INDEX(Data[],MATCH($A183,Data[Dist],0),MATCH(D$6,Data[#Headers],0))</f>
        <v>363201</v>
      </c>
      <c r="E183" s="164">
        <f>INDEX(Data[],MATCH($A183,Data[Dist],0),MATCH(E$6,Data[#Headers],0))</f>
        <v>363201</v>
      </c>
      <c r="F183" s="164">
        <f>INDEX(Data[],MATCH($A183,Data[Dist],0),MATCH(F$6,Data[#Headers],0))</f>
        <v>363200</v>
      </c>
      <c r="G183" s="22">
        <f>INDEX(Data[],MATCH($A183,Data[Dist],0),MATCH(G$6,Data[#Headers],0))</f>
        <v>3642909</v>
      </c>
      <c r="H183" s="22">
        <f>INDEX(Data[],MATCH($A183,Data[Dist],0),MATCH(H$6,Data[#Headers],0))-G183</f>
        <v>0</v>
      </c>
      <c r="I183" s="25"/>
      <c r="J183" s="22">
        <f>INDEX(Notes!$I$2:$N$11,MATCH(Notes!$B$2,Notes!$I$2:$I$11,0),4)*$C183</f>
        <v>1463704</v>
      </c>
      <c r="K183" s="22">
        <f>INDEX(Notes!$I$2:$N$11,MATCH(Notes!$B$2,Notes!$I$2:$I$11,0),5)*$D183</f>
        <v>726402</v>
      </c>
      <c r="L183" s="22">
        <f>INDEX(Notes!$I$2:$N$11,MATCH(Notes!$B$2,Notes!$I$2:$I$11,0),6)*$E183</f>
        <v>1089603</v>
      </c>
      <c r="M183" s="22">
        <f>IF(Notes!$B$2="June",'Payment Total'!$F183,0)</f>
        <v>363200</v>
      </c>
      <c r="N183" s="22">
        <f t="shared" si="14"/>
        <v>0</v>
      </c>
      <c r="P183" s="26">
        <v>40330000</v>
      </c>
      <c r="Q183" s="26">
        <v>363200</v>
      </c>
      <c r="R183" s="21" t="str">
        <f t="shared" si="15"/>
        <v>4033</v>
      </c>
      <c r="S183" s="44" t="str">
        <f t="shared" si="16"/>
        <v>4033</v>
      </c>
      <c r="T183" s="20">
        <f t="shared" si="17"/>
        <v>0</v>
      </c>
      <c r="V183" s="46" t="s">
        <v>983</v>
      </c>
      <c r="W183" s="26">
        <v>908339</v>
      </c>
      <c r="X183" s="21" t="str">
        <f t="shared" si="18"/>
        <v>4041</v>
      </c>
      <c r="Y183" s="44" t="str">
        <f t="shared" si="19"/>
        <v>4041</v>
      </c>
      <c r="Z183" s="45">
        <f t="shared" si="20"/>
        <v>0</v>
      </c>
    </row>
    <row r="184" spans="1:26" s="26" customFormat="1" ht="12.75" x14ac:dyDescent="0.2">
      <c r="A184" s="20" t="str">
        <f>Data!B179</f>
        <v>4041</v>
      </c>
      <c r="B184" s="21" t="str">
        <f>INDEX(Data[],MATCH($A184,Data[Dist],0),MATCH(B$6,Data[#Headers],0))</f>
        <v>Maquoketa</v>
      </c>
      <c r="C184" s="22">
        <f>INDEX(Data[],MATCH($A184,Data[Dist],0),MATCH(C$6,Data[#Headers],0))</f>
        <v>913898</v>
      </c>
      <c r="D184" s="164">
        <f>INDEX(Data[],MATCH($A184,Data[Dist],0),MATCH(D$6,Data[#Headers],0))</f>
        <v>908339</v>
      </c>
      <c r="E184" s="164">
        <f>INDEX(Data[],MATCH($A184,Data[Dist],0),MATCH(E$6,Data[#Headers],0))</f>
        <v>908338</v>
      </c>
      <c r="F184" s="164">
        <f>INDEX(Data[],MATCH($A184,Data[Dist],0),MATCH(F$6,Data[#Headers],0))</f>
        <v>908339</v>
      </c>
      <c r="G184" s="22">
        <f>INDEX(Data[],MATCH($A184,Data[Dist],0),MATCH(G$6,Data[#Headers],0))</f>
        <v>9105623</v>
      </c>
      <c r="H184" s="22">
        <f>INDEX(Data[],MATCH($A184,Data[Dist],0),MATCH(H$6,Data[#Headers],0))-G184</f>
        <v>0</v>
      </c>
      <c r="I184" s="25"/>
      <c r="J184" s="22">
        <f>INDEX(Notes!$I$2:$N$11,MATCH(Notes!$B$2,Notes!$I$2:$I$11,0),4)*$C184</f>
        <v>3655592</v>
      </c>
      <c r="K184" s="22">
        <f>INDEX(Notes!$I$2:$N$11,MATCH(Notes!$B$2,Notes!$I$2:$I$11,0),5)*$D184</f>
        <v>1816678</v>
      </c>
      <c r="L184" s="22">
        <f>INDEX(Notes!$I$2:$N$11,MATCH(Notes!$B$2,Notes!$I$2:$I$11,0),6)*$E184</f>
        <v>2725014</v>
      </c>
      <c r="M184" s="22">
        <f>IF(Notes!$B$2="June",'Payment Total'!$F184,0)</f>
        <v>908339</v>
      </c>
      <c r="N184" s="22">
        <f t="shared" si="14"/>
        <v>0</v>
      </c>
      <c r="P184" s="26">
        <v>40410000</v>
      </c>
      <c r="Q184" s="26">
        <v>908339</v>
      </c>
      <c r="R184" s="21" t="str">
        <f t="shared" si="15"/>
        <v>4041</v>
      </c>
      <c r="S184" s="44" t="str">
        <f t="shared" si="16"/>
        <v>4041</v>
      </c>
      <c r="T184" s="20">
        <f t="shared" si="17"/>
        <v>0</v>
      </c>
      <c r="V184" s="46" t="s">
        <v>984</v>
      </c>
      <c r="W184" s="26">
        <v>330328</v>
      </c>
      <c r="X184" s="21" t="str">
        <f t="shared" si="18"/>
        <v>4043</v>
      </c>
      <c r="Y184" s="44" t="str">
        <f t="shared" si="19"/>
        <v>4043</v>
      </c>
      <c r="Z184" s="45">
        <f t="shared" si="20"/>
        <v>0</v>
      </c>
    </row>
    <row r="185" spans="1:26" s="26" customFormat="1" ht="12.75" x14ac:dyDescent="0.2">
      <c r="A185" s="20" t="str">
        <f>Data!B180</f>
        <v>4043</v>
      </c>
      <c r="B185" s="21" t="str">
        <f>INDEX(Data[],MATCH($A185,Data[Dist],0),MATCH(B$6,Data[#Headers],0))</f>
        <v>Maquoketa Valley</v>
      </c>
      <c r="C185" s="22">
        <f>INDEX(Data[],MATCH($A185,Data[Dist],0),MATCH(C$6,Data[#Headers],0))</f>
        <v>333128</v>
      </c>
      <c r="D185" s="164">
        <f>INDEX(Data[],MATCH($A185,Data[Dist],0),MATCH(D$6,Data[#Headers],0))</f>
        <v>330329</v>
      </c>
      <c r="E185" s="164">
        <f>INDEX(Data[],MATCH($A185,Data[Dist],0),MATCH(E$6,Data[#Headers],0))</f>
        <v>330329</v>
      </c>
      <c r="F185" s="164">
        <f>INDEX(Data[],MATCH($A185,Data[Dist],0),MATCH(F$6,Data[#Headers],0))</f>
        <v>330328</v>
      </c>
      <c r="G185" s="22">
        <f>INDEX(Data[],MATCH($A185,Data[Dist],0),MATCH(G$6,Data[#Headers],0))</f>
        <v>3314485</v>
      </c>
      <c r="H185" s="22">
        <f>INDEX(Data[],MATCH($A185,Data[Dist],0),MATCH(H$6,Data[#Headers],0))-G185</f>
        <v>0</v>
      </c>
      <c r="I185" s="25"/>
      <c r="J185" s="22">
        <f>INDEX(Notes!$I$2:$N$11,MATCH(Notes!$B$2,Notes!$I$2:$I$11,0),4)*$C185</f>
        <v>1332512</v>
      </c>
      <c r="K185" s="22">
        <f>INDEX(Notes!$I$2:$N$11,MATCH(Notes!$B$2,Notes!$I$2:$I$11,0),5)*$D185</f>
        <v>660658</v>
      </c>
      <c r="L185" s="22">
        <f>INDEX(Notes!$I$2:$N$11,MATCH(Notes!$B$2,Notes!$I$2:$I$11,0),6)*$E185</f>
        <v>990987</v>
      </c>
      <c r="M185" s="22">
        <f>IF(Notes!$B$2="June",'Payment Total'!$F185,0)</f>
        <v>330328</v>
      </c>
      <c r="N185" s="22">
        <f t="shared" si="14"/>
        <v>0</v>
      </c>
      <c r="P185" s="26">
        <v>40430000</v>
      </c>
      <c r="Q185" s="26">
        <v>330328</v>
      </c>
      <c r="R185" s="21" t="str">
        <f t="shared" si="15"/>
        <v>4043</v>
      </c>
      <c r="S185" s="44" t="str">
        <f t="shared" si="16"/>
        <v>4043</v>
      </c>
      <c r="T185" s="20">
        <f t="shared" si="17"/>
        <v>0</v>
      </c>
      <c r="V185" s="46" t="s">
        <v>985</v>
      </c>
      <c r="W185" s="26">
        <v>171223</v>
      </c>
      <c r="X185" s="21" t="str">
        <f t="shared" si="18"/>
        <v>4068</v>
      </c>
      <c r="Y185" s="44" t="str">
        <f t="shared" si="19"/>
        <v>4068</v>
      </c>
      <c r="Z185" s="45">
        <f t="shared" si="20"/>
        <v>0</v>
      </c>
    </row>
    <row r="186" spans="1:26" s="26" customFormat="1" ht="12.75" x14ac:dyDescent="0.2">
      <c r="A186" s="20" t="str">
        <f>Data!B181</f>
        <v>4068</v>
      </c>
      <c r="B186" s="21" t="str">
        <f>INDEX(Data[],MATCH($A186,Data[Dist],0),MATCH(B$6,Data[#Headers],0))</f>
        <v>Marcus-Meriden Cleghorn</v>
      </c>
      <c r="C186" s="22">
        <f>INDEX(Data[],MATCH($A186,Data[Dist],0),MATCH(C$6,Data[#Headers],0))</f>
        <v>172992</v>
      </c>
      <c r="D186" s="164">
        <f>INDEX(Data[],MATCH($A186,Data[Dist],0),MATCH(D$6,Data[#Headers],0))</f>
        <v>171225</v>
      </c>
      <c r="E186" s="164">
        <f>INDEX(Data[],MATCH($A186,Data[Dist],0),MATCH(E$6,Data[#Headers],0))</f>
        <v>171225</v>
      </c>
      <c r="F186" s="164">
        <f>INDEX(Data[],MATCH($A186,Data[Dist],0),MATCH(F$6,Data[#Headers],0))</f>
        <v>171223</v>
      </c>
      <c r="G186" s="22">
        <f>INDEX(Data[],MATCH($A186,Data[Dist],0),MATCH(G$6,Data[#Headers],0))</f>
        <v>1719316</v>
      </c>
      <c r="H186" s="22">
        <f>INDEX(Data[],MATCH($A186,Data[Dist],0),MATCH(H$6,Data[#Headers],0))-G186</f>
        <v>0</v>
      </c>
      <c r="I186" s="25"/>
      <c r="J186" s="22">
        <f>INDEX(Notes!$I$2:$N$11,MATCH(Notes!$B$2,Notes!$I$2:$I$11,0),4)*$C186</f>
        <v>691968</v>
      </c>
      <c r="K186" s="22">
        <f>INDEX(Notes!$I$2:$N$11,MATCH(Notes!$B$2,Notes!$I$2:$I$11,0),5)*$D186</f>
        <v>342450</v>
      </c>
      <c r="L186" s="22">
        <f>INDEX(Notes!$I$2:$N$11,MATCH(Notes!$B$2,Notes!$I$2:$I$11,0),6)*$E186</f>
        <v>513675</v>
      </c>
      <c r="M186" s="22">
        <f>IF(Notes!$B$2="June",'Payment Total'!$F186,0)</f>
        <v>171223</v>
      </c>
      <c r="N186" s="22">
        <f t="shared" si="14"/>
        <v>0</v>
      </c>
      <c r="P186" s="26">
        <v>40680000</v>
      </c>
      <c r="Q186" s="26">
        <v>171223</v>
      </c>
      <c r="R186" s="21" t="str">
        <f t="shared" si="15"/>
        <v>4068</v>
      </c>
      <c r="S186" s="44" t="str">
        <f t="shared" si="16"/>
        <v>4068</v>
      </c>
      <c r="T186" s="20">
        <f t="shared" si="17"/>
        <v>0</v>
      </c>
      <c r="V186" s="46" t="s">
        <v>986</v>
      </c>
      <c r="W186" s="26">
        <v>1277095</v>
      </c>
      <c r="X186" s="21" t="str">
        <f t="shared" si="18"/>
        <v>4086</v>
      </c>
      <c r="Y186" s="44" t="str">
        <f t="shared" si="19"/>
        <v>4086</v>
      </c>
      <c r="Z186" s="45">
        <f t="shared" si="20"/>
        <v>0</v>
      </c>
    </row>
    <row r="187" spans="1:26" s="26" customFormat="1" ht="12.75" x14ac:dyDescent="0.2">
      <c r="A187" s="20" t="str">
        <f>Data!B182</f>
        <v>4086</v>
      </c>
      <c r="B187" s="21" t="str">
        <f>INDEX(Data[],MATCH($A187,Data[Dist],0),MATCH(B$6,Data[#Headers],0))</f>
        <v>Marion</v>
      </c>
      <c r="C187" s="22">
        <f>INDEX(Data[],MATCH($A187,Data[Dist],0),MATCH(C$6,Data[#Headers],0))</f>
        <v>1285081</v>
      </c>
      <c r="D187" s="164">
        <f>INDEX(Data[],MATCH($A187,Data[Dist],0),MATCH(D$6,Data[#Headers],0))</f>
        <v>1277095</v>
      </c>
      <c r="E187" s="164">
        <f>INDEX(Data[],MATCH($A187,Data[Dist],0),MATCH(E$6,Data[#Headers],0))</f>
        <v>1277095</v>
      </c>
      <c r="F187" s="164">
        <f>INDEX(Data[],MATCH($A187,Data[Dist],0),MATCH(F$6,Data[#Headers],0))</f>
        <v>1277095</v>
      </c>
      <c r="G187" s="22">
        <f>INDEX(Data[],MATCH($A187,Data[Dist],0),MATCH(G$6,Data[#Headers],0))</f>
        <v>12802894</v>
      </c>
      <c r="H187" s="22">
        <f>INDEX(Data[],MATCH($A187,Data[Dist],0),MATCH(H$6,Data[#Headers],0))-G187</f>
        <v>0</v>
      </c>
      <c r="I187" s="25"/>
      <c r="J187" s="22">
        <f>INDEX(Notes!$I$2:$N$11,MATCH(Notes!$B$2,Notes!$I$2:$I$11,0),4)*$C187</f>
        <v>5140324</v>
      </c>
      <c r="K187" s="22">
        <f>INDEX(Notes!$I$2:$N$11,MATCH(Notes!$B$2,Notes!$I$2:$I$11,0),5)*$D187</f>
        <v>2554190</v>
      </c>
      <c r="L187" s="22">
        <f>INDEX(Notes!$I$2:$N$11,MATCH(Notes!$B$2,Notes!$I$2:$I$11,0),6)*$E187</f>
        <v>3831285</v>
      </c>
      <c r="M187" s="22">
        <f>IF(Notes!$B$2="June",'Payment Total'!$F187,0)</f>
        <v>1277095</v>
      </c>
      <c r="N187" s="22">
        <f t="shared" si="14"/>
        <v>0</v>
      </c>
      <c r="P187" s="26">
        <v>40860000</v>
      </c>
      <c r="Q187" s="26">
        <v>1277095</v>
      </c>
      <c r="R187" s="21" t="str">
        <f t="shared" si="15"/>
        <v>4086</v>
      </c>
      <c r="S187" s="44" t="str">
        <f t="shared" si="16"/>
        <v>4086</v>
      </c>
      <c r="T187" s="20">
        <f t="shared" si="17"/>
        <v>0</v>
      </c>
      <c r="V187" s="46" t="s">
        <v>987</v>
      </c>
      <c r="W187" s="26">
        <v>3958649</v>
      </c>
      <c r="X187" s="21" t="str">
        <f t="shared" si="18"/>
        <v>4104</v>
      </c>
      <c r="Y187" s="44" t="str">
        <f t="shared" si="19"/>
        <v>4104</v>
      </c>
      <c r="Z187" s="45">
        <f t="shared" si="20"/>
        <v>0</v>
      </c>
    </row>
    <row r="188" spans="1:26" s="26" customFormat="1" ht="12.75" x14ac:dyDescent="0.2">
      <c r="A188" s="20" t="str">
        <f>Data!B183</f>
        <v>4104</v>
      </c>
      <c r="B188" s="21" t="str">
        <f>INDEX(Data[],MATCH($A188,Data[Dist],0),MATCH(B$6,Data[#Headers],0))</f>
        <v>Marshalltown</v>
      </c>
      <c r="C188" s="22">
        <f>INDEX(Data[],MATCH($A188,Data[Dist],0),MATCH(C$6,Data[#Headers],0))</f>
        <v>3981373</v>
      </c>
      <c r="D188" s="164">
        <f>INDEX(Data[],MATCH($A188,Data[Dist],0),MATCH(D$6,Data[#Headers],0))</f>
        <v>3958648</v>
      </c>
      <c r="E188" s="164">
        <f>INDEX(Data[],MATCH($A188,Data[Dist],0),MATCH(E$6,Data[#Headers],0))</f>
        <v>3958648</v>
      </c>
      <c r="F188" s="164">
        <f>INDEX(Data[],MATCH($A188,Data[Dist],0),MATCH(F$6,Data[#Headers],0))</f>
        <v>3958649</v>
      </c>
      <c r="G188" s="22">
        <f>INDEX(Data[],MATCH($A188,Data[Dist],0),MATCH(G$6,Data[#Headers],0))</f>
        <v>39677381</v>
      </c>
      <c r="H188" s="22">
        <f>INDEX(Data[],MATCH($A188,Data[Dist],0),MATCH(H$6,Data[#Headers],0))-G188</f>
        <v>0</v>
      </c>
      <c r="I188" s="25"/>
      <c r="J188" s="22">
        <f>INDEX(Notes!$I$2:$N$11,MATCH(Notes!$B$2,Notes!$I$2:$I$11,0),4)*$C188</f>
        <v>15925492</v>
      </c>
      <c r="K188" s="22">
        <f>INDEX(Notes!$I$2:$N$11,MATCH(Notes!$B$2,Notes!$I$2:$I$11,0),5)*$D188</f>
        <v>7917296</v>
      </c>
      <c r="L188" s="22">
        <f>INDEX(Notes!$I$2:$N$11,MATCH(Notes!$B$2,Notes!$I$2:$I$11,0),6)*$E188</f>
        <v>11875944</v>
      </c>
      <c r="M188" s="22">
        <f>IF(Notes!$B$2="June",'Payment Total'!$F188,0)</f>
        <v>3958649</v>
      </c>
      <c r="N188" s="22">
        <f t="shared" si="14"/>
        <v>0</v>
      </c>
      <c r="P188" s="26">
        <v>41040000</v>
      </c>
      <c r="Q188" s="26">
        <v>3958649</v>
      </c>
      <c r="R188" s="21" t="str">
        <f t="shared" si="15"/>
        <v>4104</v>
      </c>
      <c r="S188" s="44" t="str">
        <f t="shared" si="16"/>
        <v>4104</v>
      </c>
      <c r="T188" s="20">
        <f t="shared" si="17"/>
        <v>0</v>
      </c>
      <c r="V188" s="46" t="s">
        <v>988</v>
      </c>
      <c r="W188" s="26">
        <v>300328</v>
      </c>
      <c r="X188" s="21" t="str">
        <f t="shared" si="18"/>
        <v>4122</v>
      </c>
      <c r="Y188" s="44" t="str">
        <f t="shared" si="19"/>
        <v>4122</v>
      </c>
      <c r="Z188" s="45">
        <f t="shared" si="20"/>
        <v>0</v>
      </c>
    </row>
    <row r="189" spans="1:26" s="26" customFormat="1" ht="12.75" x14ac:dyDescent="0.2">
      <c r="A189" s="20" t="str">
        <f>Data!B184</f>
        <v>4122</v>
      </c>
      <c r="B189" s="21" t="str">
        <f>INDEX(Data[],MATCH($A189,Data[Dist],0),MATCH(B$6,Data[#Headers],0))</f>
        <v>Martensdale-St Marys</v>
      </c>
      <c r="C189" s="22">
        <f>INDEX(Data[],MATCH($A189,Data[Dist],0),MATCH(C$6,Data[#Headers],0))</f>
        <v>302462</v>
      </c>
      <c r="D189" s="164">
        <f>INDEX(Data[],MATCH($A189,Data[Dist],0),MATCH(D$6,Data[#Headers],0))</f>
        <v>300329</v>
      </c>
      <c r="E189" s="164">
        <f>INDEX(Data[],MATCH($A189,Data[Dist],0),MATCH(E$6,Data[#Headers],0))</f>
        <v>300330</v>
      </c>
      <c r="F189" s="164">
        <f>INDEX(Data[],MATCH($A189,Data[Dist],0),MATCH(F$6,Data[#Headers],0))</f>
        <v>300328</v>
      </c>
      <c r="G189" s="22">
        <f>INDEX(Data[],MATCH($A189,Data[Dist],0),MATCH(G$6,Data[#Headers],0))</f>
        <v>3011824</v>
      </c>
      <c r="H189" s="22">
        <f>INDEX(Data[],MATCH($A189,Data[Dist],0),MATCH(H$6,Data[#Headers],0))-G189</f>
        <v>0</v>
      </c>
      <c r="I189" s="25"/>
      <c r="J189" s="22">
        <f>INDEX(Notes!$I$2:$N$11,MATCH(Notes!$B$2,Notes!$I$2:$I$11,0),4)*$C189</f>
        <v>1209848</v>
      </c>
      <c r="K189" s="22">
        <f>INDEX(Notes!$I$2:$N$11,MATCH(Notes!$B$2,Notes!$I$2:$I$11,0),5)*$D189</f>
        <v>600658</v>
      </c>
      <c r="L189" s="22">
        <f>INDEX(Notes!$I$2:$N$11,MATCH(Notes!$B$2,Notes!$I$2:$I$11,0),6)*$E189</f>
        <v>900990</v>
      </c>
      <c r="M189" s="22">
        <f>IF(Notes!$B$2="June",'Payment Total'!$F189,0)</f>
        <v>300328</v>
      </c>
      <c r="N189" s="22">
        <f t="shared" si="14"/>
        <v>0</v>
      </c>
      <c r="P189" s="26">
        <v>41220000</v>
      </c>
      <c r="Q189" s="26">
        <v>300328</v>
      </c>
      <c r="R189" s="21" t="str">
        <f t="shared" si="15"/>
        <v>4122</v>
      </c>
      <c r="S189" s="44" t="str">
        <f t="shared" si="16"/>
        <v>4122</v>
      </c>
      <c r="T189" s="20">
        <f t="shared" si="17"/>
        <v>0</v>
      </c>
      <c r="V189" s="46" t="s">
        <v>989</v>
      </c>
      <c r="W189" s="26">
        <v>2224488</v>
      </c>
      <c r="X189" s="21" t="str">
        <f t="shared" si="18"/>
        <v>4131</v>
      </c>
      <c r="Y189" s="44" t="str">
        <f t="shared" si="19"/>
        <v>4131</v>
      </c>
      <c r="Z189" s="45">
        <f t="shared" si="20"/>
        <v>0</v>
      </c>
    </row>
    <row r="190" spans="1:26" s="26" customFormat="1" ht="12.75" x14ac:dyDescent="0.2">
      <c r="A190" s="20" t="str">
        <f>Data!B185</f>
        <v>4131</v>
      </c>
      <c r="B190" s="21" t="str">
        <f>INDEX(Data[],MATCH($A190,Data[Dist],0),MATCH(B$6,Data[#Headers],0))</f>
        <v>Mason City</v>
      </c>
      <c r="C190" s="22">
        <f>INDEX(Data[],MATCH($A190,Data[Dist],0),MATCH(C$6,Data[#Headers],0))</f>
        <v>2239641</v>
      </c>
      <c r="D190" s="164">
        <f>INDEX(Data[],MATCH($A190,Data[Dist],0),MATCH(D$6,Data[#Headers],0))</f>
        <v>2224490</v>
      </c>
      <c r="E190" s="164">
        <f>INDEX(Data[],MATCH($A190,Data[Dist],0),MATCH(E$6,Data[#Headers],0))</f>
        <v>2224490</v>
      </c>
      <c r="F190" s="164">
        <f>INDEX(Data[],MATCH($A190,Data[Dist],0),MATCH(F$6,Data[#Headers],0))</f>
        <v>2224488</v>
      </c>
      <c r="G190" s="22">
        <f>INDEX(Data[],MATCH($A190,Data[Dist],0),MATCH(G$6,Data[#Headers],0))</f>
        <v>22305502</v>
      </c>
      <c r="H190" s="22">
        <f>INDEX(Data[],MATCH($A190,Data[Dist],0),MATCH(H$6,Data[#Headers],0))-G190</f>
        <v>0</v>
      </c>
      <c r="I190" s="25"/>
      <c r="J190" s="22">
        <f>INDEX(Notes!$I$2:$N$11,MATCH(Notes!$B$2,Notes!$I$2:$I$11,0),4)*$C190</f>
        <v>8958564</v>
      </c>
      <c r="K190" s="22">
        <f>INDEX(Notes!$I$2:$N$11,MATCH(Notes!$B$2,Notes!$I$2:$I$11,0),5)*$D190</f>
        <v>4448980</v>
      </c>
      <c r="L190" s="22">
        <f>INDEX(Notes!$I$2:$N$11,MATCH(Notes!$B$2,Notes!$I$2:$I$11,0),6)*$E190</f>
        <v>6673470</v>
      </c>
      <c r="M190" s="22">
        <f>IF(Notes!$B$2="June",'Payment Total'!$F190,0)</f>
        <v>2224488</v>
      </c>
      <c r="N190" s="22">
        <f t="shared" si="14"/>
        <v>0</v>
      </c>
      <c r="P190" s="26">
        <v>41310000</v>
      </c>
      <c r="Q190" s="26">
        <v>2224488</v>
      </c>
      <c r="R190" s="21" t="str">
        <f t="shared" si="15"/>
        <v>4131</v>
      </c>
      <c r="S190" s="44" t="str">
        <f t="shared" si="16"/>
        <v>4131</v>
      </c>
      <c r="T190" s="20">
        <f t="shared" si="17"/>
        <v>0</v>
      </c>
      <c r="V190" s="46" t="s">
        <v>996</v>
      </c>
      <c r="W190" s="26">
        <v>776347</v>
      </c>
      <c r="X190" s="21" t="str">
        <f t="shared" si="18"/>
        <v>4149</v>
      </c>
      <c r="Y190" s="44" t="str">
        <f t="shared" si="19"/>
        <v>4149</v>
      </c>
      <c r="Z190" s="45">
        <f t="shared" si="20"/>
        <v>0</v>
      </c>
    </row>
    <row r="191" spans="1:26" s="26" customFormat="1" ht="12.75" x14ac:dyDescent="0.2">
      <c r="A191" s="20" t="str">
        <f>Data!B186</f>
        <v>4149</v>
      </c>
      <c r="B191" s="21" t="str">
        <f>INDEX(Data[],MATCH($A191,Data[Dist],0),MATCH(B$6,Data[#Headers],0))</f>
        <v>Moc-Floyd Valley</v>
      </c>
      <c r="C191" s="22">
        <f>INDEX(Data[],MATCH($A191,Data[Dist],0),MATCH(C$6,Data[#Headers],0))</f>
        <v>782915</v>
      </c>
      <c r="D191" s="164">
        <f>INDEX(Data[],MATCH($A191,Data[Dist],0),MATCH(D$6,Data[#Headers],0))</f>
        <v>776935</v>
      </c>
      <c r="E191" s="164">
        <f>INDEX(Data[],MATCH($A191,Data[Dist],0),MATCH(E$6,Data[#Headers],0))</f>
        <v>776346</v>
      </c>
      <c r="F191" s="164">
        <f>INDEX(Data[],MATCH($A191,Data[Dist],0),MATCH(F$6,Data[#Headers],0))</f>
        <v>776347</v>
      </c>
      <c r="G191" s="22">
        <f>INDEX(Data[],MATCH($A191,Data[Dist],0),MATCH(G$6,Data[#Headers],0))</f>
        <v>7790915</v>
      </c>
      <c r="H191" s="22">
        <f>INDEX(Data[],MATCH($A191,Data[Dist],0),MATCH(H$6,Data[#Headers],0))-G191</f>
        <v>0</v>
      </c>
      <c r="I191" s="25"/>
      <c r="J191" s="22">
        <f>INDEX(Notes!$I$2:$N$11,MATCH(Notes!$B$2,Notes!$I$2:$I$11,0),4)*$C191</f>
        <v>3131660</v>
      </c>
      <c r="K191" s="22">
        <f>INDEX(Notes!$I$2:$N$11,MATCH(Notes!$B$2,Notes!$I$2:$I$11,0),5)*$D191</f>
        <v>1553870</v>
      </c>
      <c r="L191" s="22">
        <f>INDEX(Notes!$I$2:$N$11,MATCH(Notes!$B$2,Notes!$I$2:$I$11,0),6)*$E191</f>
        <v>2329038</v>
      </c>
      <c r="M191" s="22">
        <f>IF(Notes!$B$2="June",'Payment Total'!$F191,0)</f>
        <v>776347</v>
      </c>
      <c r="N191" s="22">
        <f t="shared" si="14"/>
        <v>0</v>
      </c>
      <c r="P191" s="26">
        <v>41490000</v>
      </c>
      <c r="Q191" s="26">
        <v>776347</v>
      </c>
      <c r="R191" s="21" t="str">
        <f t="shared" si="15"/>
        <v>4149</v>
      </c>
      <c r="S191" s="44" t="str">
        <f t="shared" si="16"/>
        <v>4149</v>
      </c>
      <c r="T191" s="20">
        <f t="shared" si="17"/>
        <v>0</v>
      </c>
      <c r="V191" s="46" t="s">
        <v>990</v>
      </c>
      <c r="W191" s="26">
        <v>416132</v>
      </c>
      <c r="X191" s="21" t="str">
        <f t="shared" si="18"/>
        <v>4203</v>
      </c>
      <c r="Y191" s="44" t="str">
        <f t="shared" si="19"/>
        <v>4203</v>
      </c>
      <c r="Z191" s="45">
        <f t="shared" si="20"/>
        <v>0</v>
      </c>
    </row>
    <row r="192" spans="1:26" s="26" customFormat="1" ht="12.75" x14ac:dyDescent="0.2">
      <c r="A192" s="20" t="str">
        <f>Data!B187</f>
        <v>4203</v>
      </c>
      <c r="B192" s="21" t="str">
        <f>INDEX(Data[],MATCH($A192,Data[Dist],0),MATCH(B$6,Data[#Headers],0))</f>
        <v>Mediapolis</v>
      </c>
      <c r="C192" s="22">
        <f>INDEX(Data[],MATCH($A192,Data[Dist],0),MATCH(C$6,Data[#Headers],0))</f>
        <v>419425</v>
      </c>
      <c r="D192" s="164">
        <f>INDEX(Data[],MATCH($A192,Data[Dist],0),MATCH(D$6,Data[#Headers],0))</f>
        <v>416132</v>
      </c>
      <c r="E192" s="164">
        <f>INDEX(Data[],MATCH($A192,Data[Dist],0),MATCH(E$6,Data[#Headers],0))</f>
        <v>416132</v>
      </c>
      <c r="F192" s="164">
        <f>INDEX(Data[],MATCH($A192,Data[Dist],0),MATCH(F$6,Data[#Headers],0))</f>
        <v>416132</v>
      </c>
      <c r="G192" s="22">
        <f>INDEX(Data[],MATCH($A192,Data[Dist],0),MATCH(G$6,Data[#Headers],0))</f>
        <v>4174492</v>
      </c>
      <c r="H192" s="22">
        <f>INDEX(Data[],MATCH($A192,Data[Dist],0),MATCH(H$6,Data[#Headers],0))-G192</f>
        <v>0</v>
      </c>
      <c r="I192" s="25"/>
      <c r="J192" s="22">
        <f>INDEX(Notes!$I$2:$N$11,MATCH(Notes!$B$2,Notes!$I$2:$I$11,0),4)*$C192</f>
        <v>1677700</v>
      </c>
      <c r="K192" s="22">
        <f>INDEX(Notes!$I$2:$N$11,MATCH(Notes!$B$2,Notes!$I$2:$I$11,0),5)*$D192</f>
        <v>832264</v>
      </c>
      <c r="L192" s="22">
        <f>INDEX(Notes!$I$2:$N$11,MATCH(Notes!$B$2,Notes!$I$2:$I$11,0),6)*$E192</f>
        <v>1248396</v>
      </c>
      <c r="M192" s="22">
        <f>IF(Notes!$B$2="June",'Payment Total'!$F192,0)</f>
        <v>416132</v>
      </c>
      <c r="N192" s="22">
        <f t="shared" si="14"/>
        <v>0</v>
      </c>
      <c r="P192" s="26">
        <v>42030000</v>
      </c>
      <c r="Q192" s="26">
        <v>416132</v>
      </c>
      <c r="R192" s="21" t="str">
        <f t="shared" si="15"/>
        <v>4203</v>
      </c>
      <c r="S192" s="44" t="str">
        <f t="shared" si="16"/>
        <v>4203</v>
      </c>
      <c r="T192" s="20">
        <f t="shared" si="17"/>
        <v>0</v>
      </c>
      <c r="V192" s="46" t="s">
        <v>991</v>
      </c>
      <c r="W192" s="26">
        <v>220910</v>
      </c>
      <c r="X192" s="21" t="str">
        <f t="shared" si="18"/>
        <v>4212</v>
      </c>
      <c r="Y192" s="44" t="str">
        <f t="shared" si="19"/>
        <v>4212</v>
      </c>
      <c r="Z192" s="45">
        <f t="shared" si="20"/>
        <v>0</v>
      </c>
    </row>
    <row r="193" spans="1:26" s="26" customFormat="1" ht="12.75" x14ac:dyDescent="0.2">
      <c r="A193" s="20" t="str">
        <f>Data!B188</f>
        <v>4212</v>
      </c>
      <c r="B193" s="21" t="str">
        <f>INDEX(Data[],MATCH($A193,Data[Dist],0),MATCH(B$6,Data[#Headers],0))</f>
        <v>Melcher-Dallas</v>
      </c>
      <c r="C193" s="22">
        <f>INDEX(Data[],MATCH($A193,Data[Dist],0),MATCH(C$6,Data[#Headers],0))</f>
        <v>234485</v>
      </c>
      <c r="D193" s="164">
        <f>INDEX(Data[],MATCH($A193,Data[Dist],0),MATCH(D$6,Data[#Headers],0))</f>
        <v>233103</v>
      </c>
      <c r="E193" s="164">
        <f>INDEX(Data[],MATCH($A193,Data[Dist],0),MATCH(E$6,Data[#Headers],0))</f>
        <v>220910</v>
      </c>
      <c r="F193" s="164">
        <f>INDEX(Data[],MATCH($A193,Data[Dist],0),MATCH(F$6,Data[#Headers],0))</f>
        <v>220910</v>
      </c>
      <c r="G193" s="22">
        <f>INDEX(Data[],MATCH($A193,Data[Dist],0),MATCH(G$6,Data[#Headers],0))</f>
        <v>2287786</v>
      </c>
      <c r="H193" s="22">
        <f>INDEX(Data[],MATCH($A193,Data[Dist],0),MATCH(H$6,Data[#Headers],0))-G193</f>
        <v>0</v>
      </c>
      <c r="I193" s="25"/>
      <c r="J193" s="22">
        <f>INDEX(Notes!$I$2:$N$11,MATCH(Notes!$B$2,Notes!$I$2:$I$11,0),4)*$C193</f>
        <v>937940</v>
      </c>
      <c r="K193" s="22">
        <f>INDEX(Notes!$I$2:$N$11,MATCH(Notes!$B$2,Notes!$I$2:$I$11,0),5)*$D193</f>
        <v>466206</v>
      </c>
      <c r="L193" s="22">
        <f>INDEX(Notes!$I$2:$N$11,MATCH(Notes!$B$2,Notes!$I$2:$I$11,0),6)*$E193</f>
        <v>662730</v>
      </c>
      <c r="M193" s="22">
        <f>IF(Notes!$B$2="June",'Payment Total'!$F193,0)</f>
        <v>220910</v>
      </c>
      <c r="N193" s="22">
        <f t="shared" si="14"/>
        <v>0</v>
      </c>
      <c r="P193" s="26">
        <v>42120000</v>
      </c>
      <c r="Q193" s="26">
        <v>220910</v>
      </c>
      <c r="R193" s="21" t="str">
        <f t="shared" si="15"/>
        <v>4212</v>
      </c>
      <c r="S193" s="44" t="str">
        <f t="shared" si="16"/>
        <v>4212</v>
      </c>
      <c r="T193" s="20">
        <f t="shared" si="17"/>
        <v>0</v>
      </c>
      <c r="V193" s="46" t="s">
        <v>994</v>
      </c>
      <c r="W193" s="26">
        <v>293269</v>
      </c>
      <c r="X193" s="21" t="str">
        <f t="shared" si="18"/>
        <v>4269</v>
      </c>
      <c r="Y193" s="44" t="str">
        <f t="shared" si="19"/>
        <v>4269</v>
      </c>
      <c r="Z193" s="45">
        <f t="shared" si="20"/>
        <v>0</v>
      </c>
    </row>
    <row r="194" spans="1:26" s="26" customFormat="1" ht="12.75" x14ac:dyDescent="0.2">
      <c r="A194" s="20" t="str">
        <f>Data!B189</f>
        <v>4269</v>
      </c>
      <c r="B194" s="21" t="str">
        <f>INDEX(Data[],MATCH($A194,Data[Dist],0),MATCH(B$6,Data[#Headers],0))</f>
        <v>Midland</v>
      </c>
      <c r="C194" s="22">
        <f>INDEX(Data[],MATCH($A194,Data[Dist],0),MATCH(C$6,Data[#Headers],0))</f>
        <v>295498</v>
      </c>
      <c r="D194" s="164">
        <f>INDEX(Data[],MATCH($A194,Data[Dist],0),MATCH(D$6,Data[#Headers],0))</f>
        <v>293271</v>
      </c>
      <c r="E194" s="164">
        <f>INDEX(Data[],MATCH($A194,Data[Dist],0),MATCH(E$6,Data[#Headers],0))</f>
        <v>293271</v>
      </c>
      <c r="F194" s="164">
        <f>INDEX(Data[],MATCH($A194,Data[Dist],0),MATCH(F$6,Data[#Headers],0))</f>
        <v>293269</v>
      </c>
      <c r="G194" s="22">
        <f>INDEX(Data[],MATCH($A194,Data[Dist],0),MATCH(G$6,Data[#Headers],0))</f>
        <v>2941616</v>
      </c>
      <c r="H194" s="22">
        <f>INDEX(Data[],MATCH($A194,Data[Dist],0),MATCH(H$6,Data[#Headers],0))-G194</f>
        <v>0</v>
      </c>
      <c r="I194" s="25"/>
      <c r="J194" s="22">
        <f>INDEX(Notes!$I$2:$N$11,MATCH(Notes!$B$2,Notes!$I$2:$I$11,0),4)*$C194</f>
        <v>1181992</v>
      </c>
      <c r="K194" s="22">
        <f>INDEX(Notes!$I$2:$N$11,MATCH(Notes!$B$2,Notes!$I$2:$I$11,0),5)*$D194</f>
        <v>586542</v>
      </c>
      <c r="L194" s="22">
        <f>INDEX(Notes!$I$2:$N$11,MATCH(Notes!$B$2,Notes!$I$2:$I$11,0),6)*$E194</f>
        <v>879813</v>
      </c>
      <c r="M194" s="22">
        <f>IF(Notes!$B$2="June",'Payment Total'!$F194,0)</f>
        <v>293269</v>
      </c>
      <c r="N194" s="22">
        <f t="shared" si="14"/>
        <v>0</v>
      </c>
      <c r="P194" s="26">
        <v>42690000</v>
      </c>
      <c r="Q194" s="26">
        <v>293269</v>
      </c>
      <c r="R194" s="21" t="str">
        <f t="shared" si="15"/>
        <v>4269</v>
      </c>
      <c r="S194" s="44" t="str">
        <f t="shared" si="16"/>
        <v>4269</v>
      </c>
      <c r="T194" s="20">
        <f t="shared" si="17"/>
        <v>0</v>
      </c>
      <c r="V194" s="46" t="s">
        <v>993</v>
      </c>
      <c r="W194" s="26">
        <v>746369</v>
      </c>
      <c r="X194" s="21" t="str">
        <f t="shared" si="18"/>
        <v>4271</v>
      </c>
      <c r="Y194" s="44" t="str">
        <f t="shared" si="19"/>
        <v>4271</v>
      </c>
      <c r="Z194" s="45">
        <f t="shared" si="20"/>
        <v>0</v>
      </c>
    </row>
    <row r="195" spans="1:26" s="26" customFormat="1" ht="12.75" x14ac:dyDescent="0.2">
      <c r="A195" s="20" t="str">
        <f>Data!B190</f>
        <v>4271</v>
      </c>
      <c r="B195" s="21" t="str">
        <f>INDEX(Data[],MATCH($A195,Data[Dist],0),MATCH(B$6,Data[#Headers],0))</f>
        <v>Mid-Prairie</v>
      </c>
      <c r="C195" s="22">
        <f>INDEX(Data[],MATCH($A195,Data[Dist],0),MATCH(C$6,Data[#Headers],0))</f>
        <v>751569</v>
      </c>
      <c r="D195" s="164">
        <f>INDEX(Data[],MATCH($A195,Data[Dist],0),MATCH(D$6,Data[#Headers],0))</f>
        <v>746370</v>
      </c>
      <c r="E195" s="164">
        <f>INDEX(Data[],MATCH($A195,Data[Dist],0),MATCH(E$6,Data[#Headers],0))</f>
        <v>746370</v>
      </c>
      <c r="F195" s="164">
        <f>INDEX(Data[],MATCH($A195,Data[Dist],0),MATCH(F$6,Data[#Headers],0))</f>
        <v>746369</v>
      </c>
      <c r="G195" s="22">
        <f>INDEX(Data[],MATCH($A195,Data[Dist],0),MATCH(G$6,Data[#Headers],0))</f>
        <v>7484495</v>
      </c>
      <c r="H195" s="22">
        <f>INDEX(Data[],MATCH($A195,Data[Dist],0),MATCH(H$6,Data[#Headers],0))-G195</f>
        <v>0</v>
      </c>
      <c r="I195" s="25"/>
      <c r="J195" s="22">
        <f>INDEX(Notes!$I$2:$N$11,MATCH(Notes!$B$2,Notes!$I$2:$I$11,0),4)*$C195</f>
        <v>3006276</v>
      </c>
      <c r="K195" s="22">
        <f>INDEX(Notes!$I$2:$N$11,MATCH(Notes!$B$2,Notes!$I$2:$I$11,0),5)*$D195</f>
        <v>1492740</v>
      </c>
      <c r="L195" s="22">
        <f>INDEX(Notes!$I$2:$N$11,MATCH(Notes!$B$2,Notes!$I$2:$I$11,0),6)*$E195</f>
        <v>2239110</v>
      </c>
      <c r="M195" s="22">
        <f>IF(Notes!$B$2="June",'Payment Total'!$F195,0)</f>
        <v>746369</v>
      </c>
      <c r="N195" s="22">
        <f t="shared" si="14"/>
        <v>0</v>
      </c>
      <c r="P195" s="26">
        <v>42710000</v>
      </c>
      <c r="Q195" s="26">
        <v>746369</v>
      </c>
      <c r="R195" s="21" t="str">
        <f t="shared" si="15"/>
        <v>4271</v>
      </c>
      <c r="S195" s="44" t="str">
        <f t="shared" si="16"/>
        <v>4271</v>
      </c>
      <c r="T195" s="20">
        <f t="shared" si="17"/>
        <v>0</v>
      </c>
      <c r="V195" s="46" t="s">
        <v>995</v>
      </c>
      <c r="W195" s="26">
        <v>501089</v>
      </c>
      <c r="X195" s="21" t="str">
        <f t="shared" si="18"/>
        <v>4356</v>
      </c>
      <c r="Y195" s="44" t="str">
        <f t="shared" si="19"/>
        <v>4356</v>
      </c>
      <c r="Z195" s="45">
        <f t="shared" si="20"/>
        <v>0</v>
      </c>
    </row>
    <row r="196" spans="1:26" s="26" customFormat="1" ht="12.75" x14ac:dyDescent="0.2">
      <c r="A196" s="20" t="str">
        <f>Data!B191</f>
        <v>4356</v>
      </c>
      <c r="B196" s="21" t="str">
        <f>INDEX(Data[],MATCH($A196,Data[Dist],0),MATCH(B$6,Data[#Headers],0))</f>
        <v>Missouri Valley</v>
      </c>
      <c r="C196" s="22">
        <f>INDEX(Data[],MATCH($A196,Data[Dist],0),MATCH(C$6,Data[#Headers],0))</f>
        <v>504556</v>
      </c>
      <c r="D196" s="164">
        <f>INDEX(Data[],MATCH($A196,Data[Dist],0),MATCH(D$6,Data[#Headers],0))</f>
        <v>501091</v>
      </c>
      <c r="E196" s="164">
        <f>INDEX(Data[],MATCH($A196,Data[Dist],0),MATCH(E$6,Data[#Headers],0))</f>
        <v>501091</v>
      </c>
      <c r="F196" s="164">
        <f>INDEX(Data[],MATCH($A196,Data[Dist],0),MATCH(F$6,Data[#Headers],0))</f>
        <v>501089</v>
      </c>
      <c r="G196" s="22">
        <f>INDEX(Data[],MATCH($A196,Data[Dist],0),MATCH(G$6,Data[#Headers],0))</f>
        <v>5024768</v>
      </c>
      <c r="H196" s="22">
        <f>INDEX(Data[],MATCH($A196,Data[Dist],0),MATCH(H$6,Data[#Headers],0))-G196</f>
        <v>0</v>
      </c>
      <c r="I196" s="25"/>
      <c r="J196" s="22">
        <f>INDEX(Notes!$I$2:$N$11,MATCH(Notes!$B$2,Notes!$I$2:$I$11,0),4)*$C196</f>
        <v>2018224</v>
      </c>
      <c r="K196" s="22">
        <f>INDEX(Notes!$I$2:$N$11,MATCH(Notes!$B$2,Notes!$I$2:$I$11,0),5)*$D196</f>
        <v>1002182</v>
      </c>
      <c r="L196" s="22">
        <f>INDEX(Notes!$I$2:$N$11,MATCH(Notes!$B$2,Notes!$I$2:$I$11,0),6)*$E196</f>
        <v>1503273</v>
      </c>
      <c r="M196" s="22">
        <f>IF(Notes!$B$2="June",'Payment Total'!$F196,0)</f>
        <v>501089</v>
      </c>
      <c r="N196" s="22">
        <f t="shared" si="14"/>
        <v>0</v>
      </c>
      <c r="P196" s="26">
        <v>43560000</v>
      </c>
      <c r="Q196" s="26">
        <v>501089</v>
      </c>
      <c r="R196" s="21" t="str">
        <f t="shared" si="15"/>
        <v>4356</v>
      </c>
      <c r="S196" s="44" t="str">
        <f t="shared" si="16"/>
        <v>4356</v>
      </c>
      <c r="T196" s="20">
        <f t="shared" si="17"/>
        <v>0</v>
      </c>
      <c r="V196" s="46" t="s">
        <v>992</v>
      </c>
      <c r="W196" s="26">
        <v>457539</v>
      </c>
      <c r="X196" s="21" t="str">
        <f t="shared" si="18"/>
        <v>4419</v>
      </c>
      <c r="Y196" s="44" t="str">
        <f t="shared" si="19"/>
        <v>4419</v>
      </c>
      <c r="Z196" s="45">
        <f t="shared" si="20"/>
        <v>0</v>
      </c>
    </row>
    <row r="197" spans="1:26" s="26" customFormat="1" ht="12.75" x14ac:dyDescent="0.2">
      <c r="A197" s="20" t="str">
        <f>Data!B192</f>
        <v>4419</v>
      </c>
      <c r="B197" s="21" t="str">
        <f>INDEX(Data[],MATCH($A197,Data[Dist],0),MATCH(B$6,Data[#Headers],0))</f>
        <v>MFL Mar Mac</v>
      </c>
      <c r="C197" s="22">
        <f>INDEX(Data[],MATCH($A197,Data[Dist],0),MATCH(C$6,Data[#Headers],0))</f>
        <v>460694</v>
      </c>
      <c r="D197" s="164">
        <f>INDEX(Data[],MATCH($A197,Data[Dist],0),MATCH(D$6,Data[#Headers],0))</f>
        <v>457540</v>
      </c>
      <c r="E197" s="164">
        <f>INDEX(Data[],MATCH($A197,Data[Dist],0),MATCH(E$6,Data[#Headers],0))</f>
        <v>457541</v>
      </c>
      <c r="F197" s="164">
        <f>INDEX(Data[],MATCH($A197,Data[Dist],0),MATCH(F$6,Data[#Headers],0))</f>
        <v>457539</v>
      </c>
      <c r="G197" s="22">
        <f>INDEX(Data[],MATCH($A197,Data[Dist],0),MATCH(G$6,Data[#Headers],0))</f>
        <v>4588018</v>
      </c>
      <c r="H197" s="22">
        <f>INDEX(Data[],MATCH($A197,Data[Dist],0),MATCH(H$6,Data[#Headers],0))-G197</f>
        <v>0</v>
      </c>
      <c r="I197" s="25"/>
      <c r="J197" s="22">
        <f>INDEX(Notes!$I$2:$N$11,MATCH(Notes!$B$2,Notes!$I$2:$I$11,0),4)*$C197</f>
        <v>1842776</v>
      </c>
      <c r="K197" s="22">
        <f>INDEX(Notes!$I$2:$N$11,MATCH(Notes!$B$2,Notes!$I$2:$I$11,0),5)*$D197</f>
        <v>915080</v>
      </c>
      <c r="L197" s="22">
        <f>INDEX(Notes!$I$2:$N$11,MATCH(Notes!$B$2,Notes!$I$2:$I$11,0),6)*$E197</f>
        <v>1372623</v>
      </c>
      <c r="M197" s="22">
        <f>IF(Notes!$B$2="June",'Payment Total'!$F197,0)</f>
        <v>457539</v>
      </c>
      <c r="N197" s="22">
        <f t="shared" si="14"/>
        <v>0</v>
      </c>
      <c r="P197" s="26">
        <v>44190000</v>
      </c>
      <c r="Q197" s="26">
        <v>457539</v>
      </c>
      <c r="R197" s="21" t="str">
        <f t="shared" si="15"/>
        <v>4419</v>
      </c>
      <c r="S197" s="44" t="str">
        <f t="shared" si="16"/>
        <v>4419</v>
      </c>
      <c r="T197" s="20">
        <f t="shared" si="17"/>
        <v>0</v>
      </c>
      <c r="V197" s="46" t="s">
        <v>997</v>
      </c>
      <c r="W197" s="26">
        <v>228729</v>
      </c>
      <c r="X197" s="21" t="str">
        <f t="shared" si="18"/>
        <v>4437</v>
      </c>
      <c r="Y197" s="44" t="str">
        <f t="shared" si="19"/>
        <v>4437</v>
      </c>
      <c r="Z197" s="45">
        <f t="shared" si="20"/>
        <v>0</v>
      </c>
    </row>
    <row r="198" spans="1:26" s="26" customFormat="1" ht="12.75" x14ac:dyDescent="0.2">
      <c r="A198" s="20" t="str">
        <f>Data!B193</f>
        <v>4437</v>
      </c>
      <c r="B198" s="21" t="str">
        <f>INDEX(Data[],MATCH($A198,Data[Dist],0),MATCH(B$6,Data[#Headers],0))</f>
        <v>Montezuma</v>
      </c>
      <c r="C198" s="22">
        <f>INDEX(Data[],MATCH($A198,Data[Dist],0),MATCH(C$6,Data[#Headers],0))</f>
        <v>230799</v>
      </c>
      <c r="D198" s="164">
        <f>INDEX(Data[],MATCH($A198,Data[Dist],0),MATCH(D$6,Data[#Headers],0))</f>
        <v>228730</v>
      </c>
      <c r="E198" s="164">
        <f>INDEX(Data[],MATCH($A198,Data[Dist],0),MATCH(E$6,Data[#Headers],0))</f>
        <v>228730</v>
      </c>
      <c r="F198" s="164">
        <f>INDEX(Data[],MATCH($A198,Data[Dist],0),MATCH(F$6,Data[#Headers],0))</f>
        <v>228729</v>
      </c>
      <c r="G198" s="22">
        <f>INDEX(Data[],MATCH($A198,Data[Dist],0),MATCH(G$6,Data[#Headers],0))</f>
        <v>2295575</v>
      </c>
      <c r="H198" s="22">
        <f>INDEX(Data[],MATCH($A198,Data[Dist],0),MATCH(H$6,Data[#Headers],0))-G198</f>
        <v>0</v>
      </c>
      <c r="I198" s="25"/>
      <c r="J198" s="22">
        <f>INDEX(Notes!$I$2:$N$11,MATCH(Notes!$B$2,Notes!$I$2:$I$11,0),4)*$C198</f>
        <v>923196</v>
      </c>
      <c r="K198" s="22">
        <f>INDEX(Notes!$I$2:$N$11,MATCH(Notes!$B$2,Notes!$I$2:$I$11,0),5)*$D198</f>
        <v>457460</v>
      </c>
      <c r="L198" s="22">
        <f>INDEX(Notes!$I$2:$N$11,MATCH(Notes!$B$2,Notes!$I$2:$I$11,0),6)*$E198</f>
        <v>686190</v>
      </c>
      <c r="M198" s="22">
        <f>IF(Notes!$B$2="June",'Payment Total'!$F198,0)</f>
        <v>228729</v>
      </c>
      <c r="N198" s="22">
        <f t="shared" si="14"/>
        <v>0</v>
      </c>
      <c r="P198" s="26">
        <v>44370000</v>
      </c>
      <c r="Q198" s="26">
        <v>228729</v>
      </c>
      <c r="R198" s="21" t="str">
        <f t="shared" si="15"/>
        <v>4437</v>
      </c>
      <c r="S198" s="44" t="str">
        <f t="shared" si="16"/>
        <v>4437</v>
      </c>
      <c r="T198" s="20">
        <f t="shared" si="17"/>
        <v>0</v>
      </c>
      <c r="V198" s="46" t="s">
        <v>998</v>
      </c>
      <c r="W198" s="26">
        <v>588052</v>
      </c>
      <c r="X198" s="21" t="str">
        <f t="shared" si="18"/>
        <v>4446</v>
      </c>
      <c r="Y198" s="44" t="str">
        <f t="shared" si="19"/>
        <v>4446</v>
      </c>
      <c r="Z198" s="45">
        <f t="shared" si="20"/>
        <v>0</v>
      </c>
    </row>
    <row r="199" spans="1:26" s="26" customFormat="1" ht="12.75" x14ac:dyDescent="0.2">
      <c r="A199" s="20" t="str">
        <f>Data!B194</f>
        <v>4446</v>
      </c>
      <c r="B199" s="21" t="str">
        <f>INDEX(Data[],MATCH($A199,Data[Dist],0),MATCH(B$6,Data[#Headers],0))</f>
        <v>Monticello</v>
      </c>
      <c r="C199" s="22">
        <f>INDEX(Data[],MATCH($A199,Data[Dist],0),MATCH(C$6,Data[#Headers],0))</f>
        <v>592190</v>
      </c>
      <c r="D199" s="164">
        <f>INDEX(Data[],MATCH($A199,Data[Dist],0),MATCH(D$6,Data[#Headers],0))</f>
        <v>588053</v>
      </c>
      <c r="E199" s="164">
        <f>INDEX(Data[],MATCH($A199,Data[Dist],0),MATCH(E$6,Data[#Headers],0))</f>
        <v>588053</v>
      </c>
      <c r="F199" s="164">
        <f>INDEX(Data[],MATCH($A199,Data[Dist],0),MATCH(F$6,Data[#Headers],0))</f>
        <v>588052</v>
      </c>
      <c r="G199" s="22">
        <f>INDEX(Data[],MATCH($A199,Data[Dist],0),MATCH(G$6,Data[#Headers],0))</f>
        <v>5897077</v>
      </c>
      <c r="H199" s="22">
        <f>INDEX(Data[],MATCH($A199,Data[Dist],0),MATCH(H$6,Data[#Headers],0))-G199</f>
        <v>0</v>
      </c>
      <c r="I199" s="25"/>
      <c r="J199" s="22">
        <f>INDEX(Notes!$I$2:$N$11,MATCH(Notes!$B$2,Notes!$I$2:$I$11,0),4)*$C199</f>
        <v>2368760</v>
      </c>
      <c r="K199" s="22">
        <f>INDEX(Notes!$I$2:$N$11,MATCH(Notes!$B$2,Notes!$I$2:$I$11,0),5)*$D199</f>
        <v>1176106</v>
      </c>
      <c r="L199" s="22">
        <f>INDEX(Notes!$I$2:$N$11,MATCH(Notes!$B$2,Notes!$I$2:$I$11,0),6)*$E199</f>
        <v>1764159</v>
      </c>
      <c r="M199" s="22">
        <f>IF(Notes!$B$2="June",'Payment Total'!$F199,0)</f>
        <v>588052</v>
      </c>
      <c r="N199" s="22">
        <f t="shared" si="14"/>
        <v>0</v>
      </c>
      <c r="P199" s="26">
        <v>44460000</v>
      </c>
      <c r="Q199" s="26">
        <v>588052</v>
      </c>
      <c r="R199" s="21" t="str">
        <f t="shared" si="15"/>
        <v>4446</v>
      </c>
      <c r="S199" s="44" t="str">
        <f t="shared" si="16"/>
        <v>4446</v>
      </c>
      <c r="T199" s="20">
        <f t="shared" si="17"/>
        <v>0</v>
      </c>
      <c r="V199" s="46" t="s">
        <v>999</v>
      </c>
      <c r="W199" s="26">
        <v>224153</v>
      </c>
      <c r="X199" s="21" t="str">
        <f t="shared" si="18"/>
        <v>4491</v>
      </c>
      <c r="Y199" s="44" t="str">
        <f t="shared" si="19"/>
        <v>4491</v>
      </c>
      <c r="Z199" s="45">
        <f t="shared" si="20"/>
        <v>0</v>
      </c>
    </row>
    <row r="200" spans="1:26" s="26" customFormat="1" ht="12.75" x14ac:dyDescent="0.2">
      <c r="A200" s="20" t="str">
        <f>Data!B195</f>
        <v>4491</v>
      </c>
      <c r="B200" s="21" t="str">
        <f>INDEX(Data[],MATCH($A200,Data[Dist],0),MATCH(B$6,Data[#Headers],0))</f>
        <v>Moravia</v>
      </c>
      <c r="C200" s="22">
        <f>INDEX(Data[],MATCH($A200,Data[Dist],0),MATCH(C$6,Data[#Headers],0))</f>
        <v>225587</v>
      </c>
      <c r="D200" s="164">
        <f>INDEX(Data[],MATCH($A200,Data[Dist],0),MATCH(D$6,Data[#Headers],0))</f>
        <v>224153</v>
      </c>
      <c r="E200" s="164">
        <f>INDEX(Data[],MATCH($A200,Data[Dist],0),MATCH(E$6,Data[#Headers],0))</f>
        <v>224152</v>
      </c>
      <c r="F200" s="164">
        <f>INDEX(Data[],MATCH($A200,Data[Dist],0),MATCH(F$6,Data[#Headers],0))</f>
        <v>224153</v>
      </c>
      <c r="G200" s="22">
        <f>INDEX(Data[],MATCH($A200,Data[Dist],0),MATCH(G$6,Data[#Headers],0))</f>
        <v>2247263</v>
      </c>
      <c r="H200" s="22">
        <f>INDEX(Data[],MATCH($A200,Data[Dist],0),MATCH(H$6,Data[#Headers],0))-G200</f>
        <v>0</v>
      </c>
      <c r="I200" s="25"/>
      <c r="J200" s="22">
        <f>INDEX(Notes!$I$2:$N$11,MATCH(Notes!$B$2,Notes!$I$2:$I$11,0),4)*$C200</f>
        <v>902348</v>
      </c>
      <c r="K200" s="22">
        <f>INDEX(Notes!$I$2:$N$11,MATCH(Notes!$B$2,Notes!$I$2:$I$11,0),5)*$D200</f>
        <v>448306</v>
      </c>
      <c r="L200" s="22">
        <f>INDEX(Notes!$I$2:$N$11,MATCH(Notes!$B$2,Notes!$I$2:$I$11,0),6)*$E200</f>
        <v>672456</v>
      </c>
      <c r="M200" s="22">
        <f>IF(Notes!$B$2="June",'Payment Total'!$F200,0)</f>
        <v>224153</v>
      </c>
      <c r="N200" s="22">
        <f t="shared" ref="N200:N263" si="21">SUM(J200:M200)-G200</f>
        <v>0</v>
      </c>
      <c r="P200" s="26">
        <v>44910000</v>
      </c>
      <c r="Q200" s="26">
        <v>224153</v>
      </c>
      <c r="R200" s="21" t="str">
        <f t="shared" ref="R200:R263" si="22">TEXT(P200/10000,"0000")</f>
        <v>4491</v>
      </c>
      <c r="S200" s="44" t="str">
        <f t="shared" ref="S200:S263" si="23">IF(R200="1968","3582",IF(R200="5160","5319",IF(R200="5510","4824",IF(R200="6536","1935",IF(R200="6035","6048",IF(R200="5325","5323",IF(R200="6099","5157",R200)))))))</f>
        <v>4491</v>
      </c>
      <c r="T200" s="20">
        <f t="shared" ref="T200:T263" si="24">INDEX($A$7:$H$336,MATCH($S200,$A$7:$A$336,0),6)-Q200</f>
        <v>0</v>
      </c>
      <c r="V200" s="46" t="s">
        <v>1000</v>
      </c>
      <c r="W200" s="26">
        <v>171994</v>
      </c>
      <c r="X200" s="21" t="str">
        <f t="shared" ref="X200:X263" si="25">TEXT(V200/10000,"0000")</f>
        <v>4505</v>
      </c>
      <c r="Y200" s="44" t="str">
        <f t="shared" ref="Y200:Y263" si="26">IF(X200="1968","3582",IF(X200="5160","5319",IF(X200="5510","4824",IF(X200="6536","1935",IF(X200="6035","6048",IF(X200="5325","5323",IF(X200="6099","5157",X200)))))))</f>
        <v>4505</v>
      </c>
      <c r="Z200" s="45">
        <f t="shared" ref="Z200:Z263" si="27">INDEX($A$7:$H$336,MATCH($Y200,$A$7:$A$336,0),6)-W200</f>
        <v>0</v>
      </c>
    </row>
    <row r="201" spans="1:26" s="26" customFormat="1" ht="12.75" x14ac:dyDescent="0.2">
      <c r="A201" s="20" t="str">
        <f>Data!B196</f>
        <v>4505</v>
      </c>
      <c r="B201" s="21" t="str">
        <f>INDEX(Data[],MATCH($A201,Data[Dist],0),MATCH(B$6,Data[#Headers],0))</f>
        <v>Mormon Trail</v>
      </c>
      <c r="C201" s="22">
        <f>INDEX(Data[],MATCH($A201,Data[Dist],0),MATCH(C$6,Data[#Headers],0))</f>
        <v>182505</v>
      </c>
      <c r="D201" s="164">
        <f>INDEX(Data[],MATCH($A201,Data[Dist],0),MATCH(D$6,Data[#Headers],0))</f>
        <v>181393</v>
      </c>
      <c r="E201" s="164">
        <f>INDEX(Data[],MATCH($A201,Data[Dist],0),MATCH(E$6,Data[#Headers],0))</f>
        <v>171996</v>
      </c>
      <c r="F201" s="164">
        <f>INDEX(Data[],MATCH($A201,Data[Dist],0),MATCH(F$6,Data[#Headers],0))</f>
        <v>171994</v>
      </c>
      <c r="G201" s="22">
        <f>INDEX(Data[],MATCH($A201,Data[Dist],0),MATCH(G$6,Data[#Headers],0))</f>
        <v>1780788</v>
      </c>
      <c r="H201" s="22">
        <f>INDEX(Data[],MATCH($A201,Data[Dist],0),MATCH(H$6,Data[#Headers],0))-G201</f>
        <v>0</v>
      </c>
      <c r="I201" s="25"/>
      <c r="J201" s="22">
        <f>INDEX(Notes!$I$2:$N$11,MATCH(Notes!$B$2,Notes!$I$2:$I$11,0),4)*$C201</f>
        <v>730020</v>
      </c>
      <c r="K201" s="22">
        <f>INDEX(Notes!$I$2:$N$11,MATCH(Notes!$B$2,Notes!$I$2:$I$11,0),5)*$D201</f>
        <v>362786</v>
      </c>
      <c r="L201" s="22">
        <f>INDEX(Notes!$I$2:$N$11,MATCH(Notes!$B$2,Notes!$I$2:$I$11,0),6)*$E201</f>
        <v>515988</v>
      </c>
      <c r="M201" s="22">
        <f>IF(Notes!$B$2="June",'Payment Total'!$F201,0)</f>
        <v>171994</v>
      </c>
      <c r="N201" s="22">
        <f t="shared" si="21"/>
        <v>0</v>
      </c>
      <c r="P201" s="26">
        <v>45050000</v>
      </c>
      <c r="Q201" s="26">
        <v>171994</v>
      </c>
      <c r="R201" s="21" t="str">
        <f t="shared" si="22"/>
        <v>4505</v>
      </c>
      <c r="S201" s="44" t="str">
        <f t="shared" si="23"/>
        <v>4505</v>
      </c>
      <c r="T201" s="20">
        <f t="shared" si="24"/>
        <v>0</v>
      </c>
      <c r="V201" s="46" t="s">
        <v>1001</v>
      </c>
      <c r="W201" s="26">
        <v>135385</v>
      </c>
      <c r="X201" s="21" t="str">
        <f t="shared" si="25"/>
        <v>4509</v>
      </c>
      <c r="Y201" s="44" t="str">
        <f t="shared" si="26"/>
        <v>4509</v>
      </c>
      <c r="Z201" s="45">
        <f t="shared" si="27"/>
        <v>0</v>
      </c>
    </row>
    <row r="202" spans="1:26" s="26" customFormat="1" ht="12.75" x14ac:dyDescent="0.2">
      <c r="A202" s="20" t="str">
        <f>Data!B197</f>
        <v>4509</v>
      </c>
      <c r="B202" s="21" t="str">
        <f>INDEX(Data[],MATCH($A202,Data[Dist],0),MATCH(B$6,Data[#Headers],0))</f>
        <v>Morning Sun</v>
      </c>
      <c r="C202" s="22">
        <f>INDEX(Data[],MATCH($A202,Data[Dist],0),MATCH(C$6,Data[#Headers],0))</f>
        <v>136256</v>
      </c>
      <c r="D202" s="164">
        <f>INDEX(Data[],MATCH($A202,Data[Dist],0),MATCH(D$6,Data[#Headers],0))</f>
        <v>135384</v>
      </c>
      <c r="E202" s="164">
        <f>INDEX(Data[],MATCH($A202,Data[Dist],0),MATCH(E$6,Data[#Headers],0))</f>
        <v>135384</v>
      </c>
      <c r="F202" s="164">
        <f>INDEX(Data[],MATCH($A202,Data[Dist],0),MATCH(F$6,Data[#Headers],0))</f>
        <v>135385</v>
      </c>
      <c r="G202" s="22">
        <f>INDEX(Data[],MATCH($A202,Data[Dist],0),MATCH(G$6,Data[#Headers],0))</f>
        <v>1357329</v>
      </c>
      <c r="H202" s="22">
        <f>INDEX(Data[],MATCH($A202,Data[Dist],0),MATCH(H$6,Data[#Headers],0))-G202</f>
        <v>0</v>
      </c>
      <c r="I202" s="25"/>
      <c r="J202" s="22">
        <f>INDEX(Notes!$I$2:$N$11,MATCH(Notes!$B$2,Notes!$I$2:$I$11,0),4)*$C202</f>
        <v>545024</v>
      </c>
      <c r="K202" s="22">
        <f>INDEX(Notes!$I$2:$N$11,MATCH(Notes!$B$2,Notes!$I$2:$I$11,0),5)*$D202</f>
        <v>270768</v>
      </c>
      <c r="L202" s="22">
        <f>INDEX(Notes!$I$2:$N$11,MATCH(Notes!$B$2,Notes!$I$2:$I$11,0),6)*$E202</f>
        <v>406152</v>
      </c>
      <c r="M202" s="22">
        <f>IF(Notes!$B$2="June",'Payment Total'!$F202,0)</f>
        <v>135385</v>
      </c>
      <c r="N202" s="22">
        <f t="shared" si="21"/>
        <v>0</v>
      </c>
      <c r="P202" s="26">
        <v>45090000</v>
      </c>
      <c r="Q202" s="26">
        <v>135385</v>
      </c>
      <c r="R202" s="21" t="str">
        <f t="shared" si="22"/>
        <v>4509</v>
      </c>
      <c r="S202" s="44" t="str">
        <f t="shared" si="23"/>
        <v>4509</v>
      </c>
      <c r="T202" s="20">
        <f t="shared" si="24"/>
        <v>0</v>
      </c>
      <c r="V202" s="46" t="s">
        <v>1002</v>
      </c>
      <c r="W202" s="26">
        <v>141104</v>
      </c>
      <c r="X202" s="21" t="str">
        <f t="shared" si="25"/>
        <v>4518</v>
      </c>
      <c r="Y202" s="44" t="str">
        <f t="shared" si="26"/>
        <v>4518</v>
      </c>
      <c r="Z202" s="45">
        <f t="shared" si="27"/>
        <v>0</v>
      </c>
    </row>
    <row r="203" spans="1:26" s="26" customFormat="1" ht="12.75" x14ac:dyDescent="0.2">
      <c r="A203" s="20" t="str">
        <f>Data!B198</f>
        <v>4518</v>
      </c>
      <c r="B203" s="21" t="str">
        <f>INDEX(Data[],MATCH($A203,Data[Dist],0),MATCH(B$6,Data[#Headers],0))</f>
        <v>Moulton-Udell</v>
      </c>
      <c r="C203" s="22">
        <f>INDEX(Data[],MATCH($A203,Data[Dist],0),MATCH(C$6,Data[#Headers],0))</f>
        <v>141978</v>
      </c>
      <c r="D203" s="164">
        <f>INDEX(Data[],MATCH($A203,Data[Dist],0),MATCH(D$6,Data[#Headers],0))</f>
        <v>141104</v>
      </c>
      <c r="E203" s="164">
        <f>INDEX(Data[],MATCH($A203,Data[Dist],0),MATCH(E$6,Data[#Headers],0))</f>
        <v>141104</v>
      </c>
      <c r="F203" s="164">
        <f>INDEX(Data[],MATCH($A203,Data[Dist],0),MATCH(F$6,Data[#Headers],0))</f>
        <v>141104</v>
      </c>
      <c r="G203" s="22">
        <f>INDEX(Data[],MATCH($A203,Data[Dist],0),MATCH(G$6,Data[#Headers],0))</f>
        <v>1414536</v>
      </c>
      <c r="H203" s="22">
        <f>INDEX(Data[],MATCH($A203,Data[Dist],0),MATCH(H$6,Data[#Headers],0))-G203</f>
        <v>0</v>
      </c>
      <c r="I203" s="25"/>
      <c r="J203" s="22">
        <f>INDEX(Notes!$I$2:$N$11,MATCH(Notes!$B$2,Notes!$I$2:$I$11,0),4)*$C203</f>
        <v>567912</v>
      </c>
      <c r="K203" s="22">
        <f>INDEX(Notes!$I$2:$N$11,MATCH(Notes!$B$2,Notes!$I$2:$I$11,0),5)*$D203</f>
        <v>282208</v>
      </c>
      <c r="L203" s="22">
        <f>INDEX(Notes!$I$2:$N$11,MATCH(Notes!$B$2,Notes!$I$2:$I$11,0),6)*$E203</f>
        <v>423312</v>
      </c>
      <c r="M203" s="22">
        <f>IF(Notes!$B$2="June",'Payment Total'!$F203,0)</f>
        <v>141104</v>
      </c>
      <c r="N203" s="22">
        <f t="shared" si="21"/>
        <v>0</v>
      </c>
      <c r="P203" s="26">
        <v>45180000</v>
      </c>
      <c r="Q203" s="26">
        <v>141104</v>
      </c>
      <c r="R203" s="21" t="str">
        <f t="shared" si="22"/>
        <v>4518</v>
      </c>
      <c r="S203" s="44" t="str">
        <f t="shared" si="23"/>
        <v>4518</v>
      </c>
      <c r="T203" s="20">
        <f t="shared" si="24"/>
        <v>0</v>
      </c>
      <c r="V203" s="46" t="s">
        <v>1003</v>
      </c>
      <c r="W203" s="26">
        <v>353222</v>
      </c>
      <c r="X203" s="21" t="str">
        <f t="shared" si="25"/>
        <v>4527</v>
      </c>
      <c r="Y203" s="44" t="str">
        <f t="shared" si="26"/>
        <v>4527</v>
      </c>
      <c r="Z203" s="45">
        <f t="shared" si="27"/>
        <v>0</v>
      </c>
    </row>
    <row r="204" spans="1:26" s="26" customFormat="1" ht="12.75" x14ac:dyDescent="0.2">
      <c r="A204" s="20" t="str">
        <f>Data!B199</f>
        <v>4527</v>
      </c>
      <c r="B204" s="21" t="str">
        <f>INDEX(Data[],MATCH($A204,Data[Dist],0),MATCH(B$6,Data[#Headers],0))</f>
        <v>Mount Ayr</v>
      </c>
      <c r="C204" s="22">
        <f>INDEX(Data[],MATCH($A204,Data[Dist],0),MATCH(C$6,Data[#Headers],0))</f>
        <v>355851</v>
      </c>
      <c r="D204" s="164">
        <f>INDEX(Data[],MATCH($A204,Data[Dist],0),MATCH(D$6,Data[#Headers],0))</f>
        <v>353223</v>
      </c>
      <c r="E204" s="164">
        <f>INDEX(Data[],MATCH($A204,Data[Dist],0),MATCH(E$6,Data[#Headers],0))</f>
        <v>353224</v>
      </c>
      <c r="F204" s="164">
        <f>INDEX(Data[],MATCH($A204,Data[Dist],0),MATCH(F$6,Data[#Headers],0))</f>
        <v>353222</v>
      </c>
      <c r="G204" s="22">
        <f>INDEX(Data[],MATCH($A204,Data[Dist],0),MATCH(G$6,Data[#Headers],0))</f>
        <v>3542744</v>
      </c>
      <c r="H204" s="22">
        <f>INDEX(Data[],MATCH($A204,Data[Dist],0),MATCH(H$6,Data[#Headers],0))-G204</f>
        <v>0</v>
      </c>
      <c r="I204" s="25"/>
      <c r="J204" s="22">
        <f>INDEX(Notes!$I$2:$N$11,MATCH(Notes!$B$2,Notes!$I$2:$I$11,0),4)*$C204</f>
        <v>1423404</v>
      </c>
      <c r="K204" s="22">
        <f>INDEX(Notes!$I$2:$N$11,MATCH(Notes!$B$2,Notes!$I$2:$I$11,0),5)*$D204</f>
        <v>706446</v>
      </c>
      <c r="L204" s="22">
        <f>INDEX(Notes!$I$2:$N$11,MATCH(Notes!$B$2,Notes!$I$2:$I$11,0),6)*$E204</f>
        <v>1059672</v>
      </c>
      <c r="M204" s="22">
        <f>IF(Notes!$B$2="June",'Payment Total'!$F204,0)</f>
        <v>353222</v>
      </c>
      <c r="N204" s="22">
        <f t="shared" si="21"/>
        <v>0</v>
      </c>
      <c r="P204" s="26">
        <v>45270000</v>
      </c>
      <c r="Q204" s="26">
        <v>353222</v>
      </c>
      <c r="R204" s="21" t="str">
        <f t="shared" si="22"/>
        <v>4527</v>
      </c>
      <c r="S204" s="44" t="str">
        <f t="shared" si="23"/>
        <v>4527</v>
      </c>
      <c r="T204" s="20">
        <f t="shared" si="24"/>
        <v>0</v>
      </c>
      <c r="V204" s="46" t="s">
        <v>1004</v>
      </c>
      <c r="W204" s="26">
        <v>1214380</v>
      </c>
      <c r="X204" s="21" t="str">
        <f t="shared" si="25"/>
        <v>4536</v>
      </c>
      <c r="Y204" s="44" t="str">
        <f t="shared" si="26"/>
        <v>4536</v>
      </c>
      <c r="Z204" s="45">
        <f t="shared" si="27"/>
        <v>0</v>
      </c>
    </row>
    <row r="205" spans="1:26" s="26" customFormat="1" ht="12.75" x14ac:dyDescent="0.2">
      <c r="A205" s="20" t="str">
        <f>Data!B200</f>
        <v>4536</v>
      </c>
      <c r="B205" s="21" t="str">
        <f>INDEX(Data[],MATCH($A205,Data[Dist],0),MATCH(B$6,Data[#Headers],0))</f>
        <v>Mount Pleasant</v>
      </c>
      <c r="C205" s="22">
        <f>INDEX(Data[],MATCH($A205,Data[Dist],0),MATCH(C$6,Data[#Headers],0))</f>
        <v>1222430</v>
      </c>
      <c r="D205" s="164">
        <f>INDEX(Data[],MATCH($A205,Data[Dist],0),MATCH(D$6,Data[#Headers],0))</f>
        <v>1214381</v>
      </c>
      <c r="E205" s="164">
        <f>INDEX(Data[],MATCH($A205,Data[Dist],0),MATCH(E$6,Data[#Headers],0))</f>
        <v>1214382</v>
      </c>
      <c r="F205" s="164">
        <f>INDEX(Data[],MATCH($A205,Data[Dist],0),MATCH(F$6,Data[#Headers],0))</f>
        <v>1214380</v>
      </c>
      <c r="G205" s="22">
        <f>INDEX(Data[],MATCH($A205,Data[Dist],0),MATCH(G$6,Data[#Headers],0))</f>
        <v>12176008</v>
      </c>
      <c r="H205" s="22">
        <f>INDEX(Data[],MATCH($A205,Data[Dist],0),MATCH(H$6,Data[#Headers],0))-G205</f>
        <v>0</v>
      </c>
      <c r="I205" s="25"/>
      <c r="J205" s="22">
        <f>INDEX(Notes!$I$2:$N$11,MATCH(Notes!$B$2,Notes!$I$2:$I$11,0),4)*$C205</f>
        <v>4889720</v>
      </c>
      <c r="K205" s="22">
        <f>INDEX(Notes!$I$2:$N$11,MATCH(Notes!$B$2,Notes!$I$2:$I$11,0),5)*$D205</f>
        <v>2428762</v>
      </c>
      <c r="L205" s="22">
        <f>INDEX(Notes!$I$2:$N$11,MATCH(Notes!$B$2,Notes!$I$2:$I$11,0),6)*$E205</f>
        <v>3643146</v>
      </c>
      <c r="M205" s="22">
        <f>IF(Notes!$B$2="June",'Payment Total'!$F205,0)</f>
        <v>1214380</v>
      </c>
      <c r="N205" s="22">
        <f t="shared" si="21"/>
        <v>0</v>
      </c>
      <c r="P205" s="26">
        <v>45360000</v>
      </c>
      <c r="Q205" s="26">
        <v>1214380</v>
      </c>
      <c r="R205" s="21" t="str">
        <f t="shared" si="22"/>
        <v>4536</v>
      </c>
      <c r="S205" s="44" t="str">
        <f t="shared" si="23"/>
        <v>4536</v>
      </c>
      <c r="T205" s="20">
        <f t="shared" si="24"/>
        <v>0</v>
      </c>
      <c r="V205" s="46" t="s">
        <v>1005</v>
      </c>
      <c r="W205" s="26">
        <v>671404</v>
      </c>
      <c r="X205" s="21" t="str">
        <f t="shared" si="25"/>
        <v>4554</v>
      </c>
      <c r="Y205" s="44" t="str">
        <f t="shared" si="26"/>
        <v>4554</v>
      </c>
      <c r="Z205" s="45">
        <f t="shared" si="27"/>
        <v>0</v>
      </c>
    </row>
    <row r="206" spans="1:26" s="26" customFormat="1" ht="12.75" x14ac:dyDescent="0.2">
      <c r="A206" s="20" t="str">
        <f>Data!B201</f>
        <v>4554</v>
      </c>
      <c r="B206" s="21" t="str">
        <f>INDEX(Data[],MATCH($A206,Data[Dist],0),MATCH(B$6,Data[#Headers],0))</f>
        <v>Mount Vernon</v>
      </c>
      <c r="C206" s="22">
        <f>INDEX(Data[],MATCH($A206,Data[Dist],0),MATCH(C$6,Data[#Headers],0))</f>
        <v>676083</v>
      </c>
      <c r="D206" s="164">
        <f>INDEX(Data[],MATCH($A206,Data[Dist],0),MATCH(D$6,Data[#Headers],0))</f>
        <v>671404</v>
      </c>
      <c r="E206" s="164">
        <f>INDEX(Data[],MATCH($A206,Data[Dist],0),MATCH(E$6,Data[#Headers],0))</f>
        <v>671403</v>
      </c>
      <c r="F206" s="164">
        <f>INDEX(Data[],MATCH($A206,Data[Dist],0),MATCH(F$6,Data[#Headers],0))</f>
        <v>671404</v>
      </c>
      <c r="G206" s="22">
        <f>INDEX(Data[],MATCH($A206,Data[Dist],0),MATCH(G$6,Data[#Headers],0))</f>
        <v>6732753</v>
      </c>
      <c r="H206" s="22">
        <f>INDEX(Data[],MATCH($A206,Data[Dist],0),MATCH(H$6,Data[#Headers],0))-G206</f>
        <v>0</v>
      </c>
      <c r="I206" s="25"/>
      <c r="J206" s="22">
        <f>INDEX(Notes!$I$2:$N$11,MATCH(Notes!$B$2,Notes!$I$2:$I$11,0),4)*$C206</f>
        <v>2704332</v>
      </c>
      <c r="K206" s="22">
        <f>INDEX(Notes!$I$2:$N$11,MATCH(Notes!$B$2,Notes!$I$2:$I$11,0),5)*$D206</f>
        <v>1342808</v>
      </c>
      <c r="L206" s="22">
        <f>INDEX(Notes!$I$2:$N$11,MATCH(Notes!$B$2,Notes!$I$2:$I$11,0),6)*$E206</f>
        <v>2014209</v>
      </c>
      <c r="M206" s="22">
        <f>IF(Notes!$B$2="June",'Payment Total'!$F206,0)</f>
        <v>671404</v>
      </c>
      <c r="N206" s="22">
        <f t="shared" si="21"/>
        <v>0</v>
      </c>
      <c r="P206" s="26">
        <v>45540000</v>
      </c>
      <c r="Q206" s="26">
        <v>671404</v>
      </c>
      <c r="R206" s="21" t="str">
        <f t="shared" si="22"/>
        <v>4554</v>
      </c>
      <c r="S206" s="44" t="str">
        <f t="shared" si="23"/>
        <v>4554</v>
      </c>
      <c r="T206" s="20">
        <f t="shared" si="24"/>
        <v>0</v>
      </c>
      <c r="V206" s="46" t="s">
        <v>1006</v>
      </c>
      <c r="W206" s="26">
        <v>163248</v>
      </c>
      <c r="X206" s="21" t="str">
        <f t="shared" si="25"/>
        <v>4572</v>
      </c>
      <c r="Y206" s="44" t="str">
        <f t="shared" si="26"/>
        <v>4572</v>
      </c>
      <c r="Z206" s="45">
        <f t="shared" si="27"/>
        <v>0</v>
      </c>
    </row>
    <row r="207" spans="1:26" s="26" customFormat="1" ht="12.75" x14ac:dyDescent="0.2">
      <c r="A207" s="20" t="str">
        <f>Data!B202</f>
        <v>4572</v>
      </c>
      <c r="B207" s="21" t="str">
        <f>INDEX(Data[],MATCH($A207,Data[Dist],0),MATCH(B$6,Data[#Headers],0))</f>
        <v>Murray</v>
      </c>
      <c r="C207" s="22">
        <f>INDEX(Data[],MATCH($A207,Data[Dist],0),MATCH(C$6,Data[#Headers],0))</f>
        <v>164367</v>
      </c>
      <c r="D207" s="164">
        <f>INDEX(Data[],MATCH($A207,Data[Dist],0),MATCH(D$6,Data[#Headers],0))</f>
        <v>163317</v>
      </c>
      <c r="E207" s="164">
        <f>INDEX(Data[],MATCH($A207,Data[Dist],0),MATCH(E$6,Data[#Headers],0))</f>
        <v>163250</v>
      </c>
      <c r="F207" s="164">
        <f>INDEX(Data[],MATCH($A207,Data[Dist],0),MATCH(F$6,Data[#Headers],0))</f>
        <v>163248</v>
      </c>
      <c r="G207" s="22">
        <f>INDEX(Data[],MATCH($A207,Data[Dist],0),MATCH(G$6,Data[#Headers],0))</f>
        <v>1637100</v>
      </c>
      <c r="H207" s="22">
        <f>INDEX(Data[],MATCH($A207,Data[Dist],0),MATCH(H$6,Data[#Headers],0))-G207</f>
        <v>0</v>
      </c>
      <c r="I207" s="25"/>
      <c r="J207" s="22">
        <f>INDEX(Notes!$I$2:$N$11,MATCH(Notes!$B$2,Notes!$I$2:$I$11,0),4)*$C207</f>
        <v>657468</v>
      </c>
      <c r="K207" s="22">
        <f>INDEX(Notes!$I$2:$N$11,MATCH(Notes!$B$2,Notes!$I$2:$I$11,0),5)*$D207</f>
        <v>326634</v>
      </c>
      <c r="L207" s="22">
        <f>INDEX(Notes!$I$2:$N$11,MATCH(Notes!$B$2,Notes!$I$2:$I$11,0),6)*$E207</f>
        <v>489750</v>
      </c>
      <c r="M207" s="22">
        <f>IF(Notes!$B$2="June",'Payment Total'!$F207,0)</f>
        <v>163248</v>
      </c>
      <c r="N207" s="22">
        <f t="shared" si="21"/>
        <v>0</v>
      </c>
      <c r="P207" s="26">
        <v>45720000</v>
      </c>
      <c r="Q207" s="26">
        <v>163248</v>
      </c>
      <c r="R207" s="21" t="str">
        <f t="shared" si="22"/>
        <v>4572</v>
      </c>
      <c r="S207" s="44" t="str">
        <f t="shared" si="23"/>
        <v>4572</v>
      </c>
      <c r="T207" s="20">
        <f t="shared" si="24"/>
        <v>0</v>
      </c>
      <c r="V207" s="46" t="s">
        <v>1007</v>
      </c>
      <c r="W207" s="26">
        <v>3263254</v>
      </c>
      <c r="X207" s="21" t="str">
        <f t="shared" si="25"/>
        <v>4581</v>
      </c>
      <c r="Y207" s="44" t="str">
        <f t="shared" si="26"/>
        <v>4581</v>
      </c>
      <c r="Z207" s="45">
        <f t="shared" si="27"/>
        <v>0</v>
      </c>
    </row>
    <row r="208" spans="1:26" s="26" customFormat="1" ht="12.75" x14ac:dyDescent="0.2">
      <c r="A208" s="20" t="str">
        <f>Data!B203</f>
        <v>4581</v>
      </c>
      <c r="B208" s="21" t="str">
        <f>INDEX(Data[],MATCH($A208,Data[Dist],0),MATCH(B$6,Data[#Headers],0))</f>
        <v>Muscatine</v>
      </c>
      <c r="C208" s="22">
        <f>INDEX(Data[],MATCH($A208,Data[Dist],0),MATCH(C$6,Data[#Headers],0))</f>
        <v>3306101</v>
      </c>
      <c r="D208" s="164">
        <f>INDEX(Data[],MATCH($A208,Data[Dist],0),MATCH(D$6,Data[#Headers],0))</f>
        <v>3285552</v>
      </c>
      <c r="E208" s="164">
        <f>INDEX(Data[],MATCH($A208,Data[Dist],0),MATCH(E$6,Data[#Headers],0))</f>
        <v>3263254</v>
      </c>
      <c r="F208" s="164">
        <f>INDEX(Data[],MATCH($A208,Data[Dist],0),MATCH(F$6,Data[#Headers],0))</f>
        <v>3263254</v>
      </c>
      <c r="G208" s="22">
        <f>INDEX(Data[],MATCH($A208,Data[Dist],0),MATCH(G$6,Data[#Headers],0))</f>
        <v>32848524</v>
      </c>
      <c r="H208" s="22">
        <f>INDEX(Data[],MATCH($A208,Data[Dist],0),MATCH(H$6,Data[#Headers],0))-G208</f>
        <v>0</v>
      </c>
      <c r="I208" s="25"/>
      <c r="J208" s="22">
        <f>INDEX(Notes!$I$2:$N$11,MATCH(Notes!$B$2,Notes!$I$2:$I$11,0),4)*$C208</f>
        <v>13224404</v>
      </c>
      <c r="K208" s="22">
        <f>INDEX(Notes!$I$2:$N$11,MATCH(Notes!$B$2,Notes!$I$2:$I$11,0),5)*$D208</f>
        <v>6571104</v>
      </c>
      <c r="L208" s="22">
        <f>INDEX(Notes!$I$2:$N$11,MATCH(Notes!$B$2,Notes!$I$2:$I$11,0),6)*$E208</f>
        <v>9789762</v>
      </c>
      <c r="M208" s="22">
        <f>IF(Notes!$B$2="June",'Payment Total'!$F208,0)</f>
        <v>3263254</v>
      </c>
      <c r="N208" s="22">
        <f t="shared" si="21"/>
        <v>0</v>
      </c>
      <c r="P208" s="26">
        <v>45810000</v>
      </c>
      <c r="Q208" s="26">
        <v>3263254</v>
      </c>
      <c r="R208" s="21" t="str">
        <f t="shared" si="22"/>
        <v>4581</v>
      </c>
      <c r="S208" s="44" t="str">
        <f t="shared" si="23"/>
        <v>4581</v>
      </c>
      <c r="T208" s="20">
        <f t="shared" si="24"/>
        <v>0</v>
      </c>
      <c r="V208" s="46" t="s">
        <v>1008</v>
      </c>
      <c r="W208" s="26">
        <v>353683</v>
      </c>
      <c r="X208" s="21" t="str">
        <f t="shared" si="25"/>
        <v>4599</v>
      </c>
      <c r="Y208" s="44" t="str">
        <f t="shared" si="26"/>
        <v>4599</v>
      </c>
      <c r="Z208" s="45">
        <f t="shared" si="27"/>
        <v>0</v>
      </c>
    </row>
    <row r="209" spans="1:26" s="26" customFormat="1" ht="12.75" x14ac:dyDescent="0.2">
      <c r="A209" s="20" t="str">
        <f>Data!B204</f>
        <v>4599</v>
      </c>
      <c r="B209" s="21" t="str">
        <f>INDEX(Data[],MATCH($A209,Data[Dist],0),MATCH(B$6,Data[#Headers],0))</f>
        <v>Nashua-Plainfield</v>
      </c>
      <c r="C209" s="22">
        <f>INDEX(Data[],MATCH($A209,Data[Dist],0),MATCH(C$6,Data[#Headers],0))</f>
        <v>356233</v>
      </c>
      <c r="D209" s="164">
        <f>INDEX(Data[],MATCH($A209,Data[Dist],0),MATCH(D$6,Data[#Headers],0))</f>
        <v>353683</v>
      </c>
      <c r="E209" s="164">
        <f>INDEX(Data[],MATCH($A209,Data[Dist],0),MATCH(E$6,Data[#Headers],0))</f>
        <v>353682</v>
      </c>
      <c r="F209" s="164">
        <f>INDEX(Data[],MATCH($A209,Data[Dist],0),MATCH(F$6,Data[#Headers],0))</f>
        <v>353683</v>
      </c>
      <c r="G209" s="22">
        <f>INDEX(Data[],MATCH($A209,Data[Dist],0),MATCH(G$6,Data[#Headers],0))</f>
        <v>3547027</v>
      </c>
      <c r="H209" s="22">
        <f>INDEX(Data[],MATCH($A209,Data[Dist],0),MATCH(H$6,Data[#Headers],0))-G209</f>
        <v>0</v>
      </c>
      <c r="I209" s="25"/>
      <c r="J209" s="22">
        <f>INDEX(Notes!$I$2:$N$11,MATCH(Notes!$B$2,Notes!$I$2:$I$11,0),4)*$C209</f>
        <v>1424932</v>
      </c>
      <c r="K209" s="22">
        <f>INDEX(Notes!$I$2:$N$11,MATCH(Notes!$B$2,Notes!$I$2:$I$11,0),5)*$D209</f>
        <v>707366</v>
      </c>
      <c r="L209" s="22">
        <f>INDEX(Notes!$I$2:$N$11,MATCH(Notes!$B$2,Notes!$I$2:$I$11,0),6)*$E209</f>
        <v>1061046</v>
      </c>
      <c r="M209" s="22">
        <f>IF(Notes!$B$2="June",'Payment Total'!$F209,0)</f>
        <v>353683</v>
      </c>
      <c r="N209" s="22">
        <f t="shared" si="21"/>
        <v>0</v>
      </c>
      <c r="P209" s="26">
        <v>45990000</v>
      </c>
      <c r="Q209" s="26">
        <v>353683</v>
      </c>
      <c r="R209" s="21" t="str">
        <f t="shared" si="22"/>
        <v>4599</v>
      </c>
      <c r="S209" s="44" t="str">
        <f t="shared" si="23"/>
        <v>4599</v>
      </c>
      <c r="T209" s="20">
        <f t="shared" si="24"/>
        <v>0</v>
      </c>
      <c r="V209" s="46" t="s">
        <v>1009</v>
      </c>
      <c r="W209" s="26">
        <v>958456</v>
      </c>
      <c r="X209" s="21" t="str">
        <f t="shared" si="25"/>
        <v>4617</v>
      </c>
      <c r="Y209" s="44" t="str">
        <f t="shared" si="26"/>
        <v>4617</v>
      </c>
      <c r="Z209" s="45">
        <f t="shared" si="27"/>
        <v>0</v>
      </c>
    </row>
    <row r="210" spans="1:26" s="26" customFormat="1" ht="12.75" x14ac:dyDescent="0.2">
      <c r="A210" s="20" t="str">
        <f>Data!B205</f>
        <v>4617</v>
      </c>
      <c r="B210" s="21" t="str">
        <f>INDEX(Data[],MATCH($A210,Data[Dist],0),MATCH(B$6,Data[#Headers],0))</f>
        <v>Nevada</v>
      </c>
      <c r="C210" s="22">
        <f>INDEX(Data[],MATCH($A210,Data[Dist],0),MATCH(C$6,Data[#Headers],0))</f>
        <v>974500</v>
      </c>
      <c r="D210" s="164">
        <f>INDEX(Data[],MATCH($A210,Data[Dist],0),MATCH(D$6,Data[#Headers],0))</f>
        <v>968293</v>
      </c>
      <c r="E210" s="164">
        <f>INDEX(Data[],MATCH($A210,Data[Dist],0),MATCH(E$6,Data[#Headers],0))</f>
        <v>958456</v>
      </c>
      <c r="F210" s="164">
        <f>INDEX(Data[],MATCH($A210,Data[Dist],0),MATCH(F$6,Data[#Headers],0))</f>
        <v>958456</v>
      </c>
      <c r="G210" s="22">
        <f>INDEX(Data[],MATCH($A210,Data[Dist],0),MATCH(G$6,Data[#Headers],0))</f>
        <v>9668410</v>
      </c>
      <c r="H210" s="22">
        <f>INDEX(Data[],MATCH($A210,Data[Dist],0),MATCH(H$6,Data[#Headers],0))-G210</f>
        <v>0</v>
      </c>
      <c r="I210" s="25"/>
      <c r="J210" s="22">
        <f>INDEX(Notes!$I$2:$N$11,MATCH(Notes!$B$2,Notes!$I$2:$I$11,0),4)*$C210</f>
        <v>3898000</v>
      </c>
      <c r="K210" s="22">
        <f>INDEX(Notes!$I$2:$N$11,MATCH(Notes!$B$2,Notes!$I$2:$I$11,0),5)*$D210</f>
        <v>1936586</v>
      </c>
      <c r="L210" s="22">
        <f>INDEX(Notes!$I$2:$N$11,MATCH(Notes!$B$2,Notes!$I$2:$I$11,0),6)*$E210</f>
        <v>2875368</v>
      </c>
      <c r="M210" s="22">
        <f>IF(Notes!$B$2="June",'Payment Total'!$F210,0)</f>
        <v>958456</v>
      </c>
      <c r="N210" s="22">
        <f t="shared" si="21"/>
        <v>0</v>
      </c>
      <c r="P210" s="26">
        <v>46170000</v>
      </c>
      <c r="Q210" s="26">
        <v>958456</v>
      </c>
      <c r="R210" s="21" t="str">
        <f t="shared" si="22"/>
        <v>4617</v>
      </c>
      <c r="S210" s="44" t="str">
        <f t="shared" si="23"/>
        <v>4617</v>
      </c>
      <c r="T210" s="20">
        <f t="shared" si="24"/>
        <v>0</v>
      </c>
      <c r="V210" s="46" t="s">
        <v>1012</v>
      </c>
      <c r="W210" s="26">
        <v>226557</v>
      </c>
      <c r="X210" s="21" t="str">
        <f t="shared" si="25"/>
        <v>4644</v>
      </c>
      <c r="Y210" s="44" t="str">
        <f t="shared" si="26"/>
        <v>4644</v>
      </c>
      <c r="Z210" s="45">
        <f t="shared" si="27"/>
        <v>0</v>
      </c>
    </row>
    <row r="211" spans="1:26" s="26" customFormat="1" ht="12.75" x14ac:dyDescent="0.2">
      <c r="A211" s="20" t="str">
        <f>Data!B206</f>
        <v>4644</v>
      </c>
      <c r="B211" s="21" t="str">
        <f>INDEX(Data[],MATCH($A211,Data[Dist],0),MATCH(B$6,Data[#Headers],0))</f>
        <v>Newell-Fonda</v>
      </c>
      <c r="C211" s="22">
        <f>INDEX(Data[],MATCH($A211,Data[Dist],0),MATCH(C$6,Data[#Headers],0))</f>
        <v>228401</v>
      </c>
      <c r="D211" s="164">
        <f>INDEX(Data[],MATCH($A211,Data[Dist],0),MATCH(D$6,Data[#Headers],0))</f>
        <v>226558</v>
      </c>
      <c r="E211" s="164">
        <f>INDEX(Data[],MATCH($A211,Data[Dist],0),MATCH(E$6,Data[#Headers],0))</f>
        <v>226559</v>
      </c>
      <c r="F211" s="164">
        <f>INDEX(Data[],MATCH($A211,Data[Dist],0),MATCH(F$6,Data[#Headers],0))</f>
        <v>226557</v>
      </c>
      <c r="G211" s="22">
        <f>INDEX(Data[],MATCH($A211,Data[Dist],0),MATCH(G$6,Data[#Headers],0))</f>
        <v>2272954</v>
      </c>
      <c r="H211" s="22">
        <f>INDEX(Data[],MATCH($A211,Data[Dist],0),MATCH(H$6,Data[#Headers],0))-G211</f>
        <v>0</v>
      </c>
      <c r="I211" s="25"/>
      <c r="J211" s="22">
        <f>INDEX(Notes!$I$2:$N$11,MATCH(Notes!$B$2,Notes!$I$2:$I$11,0),4)*$C211</f>
        <v>913604</v>
      </c>
      <c r="K211" s="22">
        <f>INDEX(Notes!$I$2:$N$11,MATCH(Notes!$B$2,Notes!$I$2:$I$11,0),5)*$D211</f>
        <v>453116</v>
      </c>
      <c r="L211" s="22">
        <f>INDEX(Notes!$I$2:$N$11,MATCH(Notes!$B$2,Notes!$I$2:$I$11,0),6)*$E211</f>
        <v>679677</v>
      </c>
      <c r="M211" s="22">
        <f>IF(Notes!$B$2="June",'Payment Total'!$F211,0)</f>
        <v>226557</v>
      </c>
      <c r="N211" s="22">
        <f t="shared" si="21"/>
        <v>0</v>
      </c>
      <c r="P211" s="26">
        <v>46440000</v>
      </c>
      <c r="Q211" s="26">
        <v>226557</v>
      </c>
      <c r="R211" s="21" t="str">
        <f t="shared" si="22"/>
        <v>4644</v>
      </c>
      <c r="S211" s="44" t="str">
        <f t="shared" si="23"/>
        <v>4644</v>
      </c>
      <c r="T211" s="20">
        <f t="shared" si="24"/>
        <v>0</v>
      </c>
      <c r="V211" s="46" t="s">
        <v>1010</v>
      </c>
      <c r="W211" s="26">
        <v>510982</v>
      </c>
      <c r="X211" s="21" t="str">
        <f t="shared" si="25"/>
        <v>4662</v>
      </c>
      <c r="Y211" s="44" t="str">
        <f t="shared" si="26"/>
        <v>4662</v>
      </c>
      <c r="Z211" s="45">
        <f t="shared" si="27"/>
        <v>0</v>
      </c>
    </row>
    <row r="212" spans="1:26" s="26" customFormat="1" ht="12.75" x14ac:dyDescent="0.2">
      <c r="A212" s="20" t="str">
        <f>Data!B207</f>
        <v>4662</v>
      </c>
      <c r="B212" s="21" t="str">
        <f>INDEX(Data[],MATCH($A212,Data[Dist],0),MATCH(B$6,Data[#Headers],0))</f>
        <v>New Hampton</v>
      </c>
      <c r="C212" s="22">
        <f>INDEX(Data[],MATCH($A212,Data[Dist],0),MATCH(C$6,Data[#Headers],0))</f>
        <v>514978</v>
      </c>
      <c r="D212" s="164">
        <f>INDEX(Data[],MATCH($A212,Data[Dist],0),MATCH(D$6,Data[#Headers],0))</f>
        <v>510983</v>
      </c>
      <c r="E212" s="164">
        <f>INDEX(Data[],MATCH($A212,Data[Dist],0),MATCH(E$6,Data[#Headers],0))</f>
        <v>510984</v>
      </c>
      <c r="F212" s="164">
        <f>INDEX(Data[],MATCH($A212,Data[Dist],0),MATCH(F$6,Data[#Headers],0))</f>
        <v>510982</v>
      </c>
      <c r="G212" s="22">
        <f>INDEX(Data[],MATCH($A212,Data[Dist],0),MATCH(G$6,Data[#Headers],0))</f>
        <v>5125812</v>
      </c>
      <c r="H212" s="22">
        <f>INDEX(Data[],MATCH($A212,Data[Dist],0),MATCH(H$6,Data[#Headers],0))-G212</f>
        <v>0</v>
      </c>
      <c r="I212" s="25"/>
      <c r="J212" s="22">
        <f>INDEX(Notes!$I$2:$N$11,MATCH(Notes!$B$2,Notes!$I$2:$I$11,0),4)*$C212</f>
        <v>2059912</v>
      </c>
      <c r="K212" s="22">
        <f>INDEX(Notes!$I$2:$N$11,MATCH(Notes!$B$2,Notes!$I$2:$I$11,0),5)*$D212</f>
        <v>1021966</v>
      </c>
      <c r="L212" s="22">
        <f>INDEX(Notes!$I$2:$N$11,MATCH(Notes!$B$2,Notes!$I$2:$I$11,0),6)*$E212</f>
        <v>1532952</v>
      </c>
      <c r="M212" s="22">
        <f>IF(Notes!$B$2="June",'Payment Total'!$F212,0)</f>
        <v>510982</v>
      </c>
      <c r="N212" s="22">
        <f t="shared" si="21"/>
        <v>0</v>
      </c>
      <c r="P212" s="26">
        <v>46620000</v>
      </c>
      <c r="Q212" s="26">
        <v>510982</v>
      </c>
      <c r="R212" s="21" t="str">
        <f t="shared" si="22"/>
        <v>4662</v>
      </c>
      <c r="S212" s="44" t="str">
        <f t="shared" si="23"/>
        <v>4662</v>
      </c>
      <c r="T212" s="20">
        <f t="shared" si="24"/>
        <v>0</v>
      </c>
      <c r="V212" s="46" t="s">
        <v>1011</v>
      </c>
      <c r="W212" s="26">
        <v>319937</v>
      </c>
      <c r="X212" s="21" t="str">
        <f t="shared" si="25"/>
        <v>4689</v>
      </c>
      <c r="Y212" s="44" t="str">
        <f t="shared" si="26"/>
        <v>4689</v>
      </c>
      <c r="Z212" s="45">
        <f t="shared" si="27"/>
        <v>0</v>
      </c>
    </row>
    <row r="213" spans="1:26" s="26" customFormat="1" ht="12.75" x14ac:dyDescent="0.2">
      <c r="A213" s="20" t="str">
        <f>Data!B208</f>
        <v>4689</v>
      </c>
      <c r="B213" s="21" t="str">
        <f>INDEX(Data[],MATCH($A213,Data[Dist],0),MATCH(B$6,Data[#Headers],0))</f>
        <v>New London</v>
      </c>
      <c r="C213" s="22">
        <f>INDEX(Data[],MATCH($A213,Data[Dist],0),MATCH(C$6,Data[#Headers],0))</f>
        <v>324906</v>
      </c>
      <c r="D213" s="164">
        <f>INDEX(Data[],MATCH($A213,Data[Dist],0),MATCH(D$6,Data[#Headers],0))</f>
        <v>322818</v>
      </c>
      <c r="E213" s="164">
        <f>INDEX(Data[],MATCH($A213,Data[Dist],0),MATCH(E$6,Data[#Headers],0))</f>
        <v>319939</v>
      </c>
      <c r="F213" s="164">
        <f>INDEX(Data[],MATCH($A213,Data[Dist],0),MATCH(F$6,Data[#Headers],0))</f>
        <v>319937</v>
      </c>
      <c r="G213" s="22">
        <f>INDEX(Data[],MATCH($A213,Data[Dist],0),MATCH(G$6,Data[#Headers],0))</f>
        <v>3225014</v>
      </c>
      <c r="H213" s="22">
        <f>INDEX(Data[],MATCH($A213,Data[Dist],0),MATCH(H$6,Data[#Headers],0))-G213</f>
        <v>0</v>
      </c>
      <c r="I213" s="25"/>
      <c r="J213" s="22">
        <f>INDEX(Notes!$I$2:$N$11,MATCH(Notes!$B$2,Notes!$I$2:$I$11,0),4)*$C213</f>
        <v>1299624</v>
      </c>
      <c r="K213" s="22">
        <f>INDEX(Notes!$I$2:$N$11,MATCH(Notes!$B$2,Notes!$I$2:$I$11,0),5)*$D213</f>
        <v>645636</v>
      </c>
      <c r="L213" s="22">
        <f>INDEX(Notes!$I$2:$N$11,MATCH(Notes!$B$2,Notes!$I$2:$I$11,0),6)*$E213</f>
        <v>959817</v>
      </c>
      <c r="M213" s="22">
        <f>IF(Notes!$B$2="June",'Payment Total'!$F213,0)</f>
        <v>319937</v>
      </c>
      <c r="N213" s="22">
        <f t="shared" si="21"/>
        <v>0</v>
      </c>
      <c r="P213" s="26">
        <v>46890000</v>
      </c>
      <c r="Q213" s="26">
        <v>319937</v>
      </c>
      <c r="R213" s="21" t="str">
        <f t="shared" si="22"/>
        <v>4689</v>
      </c>
      <c r="S213" s="44" t="str">
        <f t="shared" si="23"/>
        <v>4689</v>
      </c>
      <c r="T213" s="20">
        <f t="shared" si="24"/>
        <v>0</v>
      </c>
      <c r="V213" s="46" t="s">
        <v>1013</v>
      </c>
      <c r="W213" s="26">
        <v>2049496</v>
      </c>
      <c r="X213" s="21" t="str">
        <f t="shared" si="25"/>
        <v>4725</v>
      </c>
      <c r="Y213" s="44" t="str">
        <f t="shared" si="26"/>
        <v>4725</v>
      </c>
      <c r="Z213" s="45">
        <f t="shared" si="27"/>
        <v>0</v>
      </c>
    </row>
    <row r="214" spans="1:26" s="26" customFormat="1" ht="12.75" x14ac:dyDescent="0.2">
      <c r="A214" s="20" t="str">
        <f>Data!B209</f>
        <v>4725</v>
      </c>
      <c r="B214" s="21" t="str">
        <f>INDEX(Data[],MATCH($A214,Data[Dist],0),MATCH(B$6,Data[#Headers],0))</f>
        <v>Newton</v>
      </c>
      <c r="C214" s="22">
        <f>INDEX(Data[],MATCH($A214,Data[Dist],0),MATCH(C$6,Data[#Headers],0))</f>
        <v>2062299</v>
      </c>
      <c r="D214" s="164">
        <f>INDEX(Data[],MATCH($A214,Data[Dist],0),MATCH(D$6,Data[#Headers],0))</f>
        <v>2049495</v>
      </c>
      <c r="E214" s="164">
        <f>INDEX(Data[],MATCH($A214,Data[Dist],0),MATCH(E$6,Data[#Headers],0))</f>
        <v>2049495</v>
      </c>
      <c r="F214" s="164">
        <f>INDEX(Data[],MATCH($A214,Data[Dist],0),MATCH(F$6,Data[#Headers],0))</f>
        <v>2049496</v>
      </c>
      <c r="G214" s="22">
        <f>INDEX(Data[],MATCH($A214,Data[Dist],0),MATCH(G$6,Data[#Headers],0))</f>
        <v>20546167</v>
      </c>
      <c r="H214" s="22">
        <f>INDEX(Data[],MATCH($A214,Data[Dist],0),MATCH(H$6,Data[#Headers],0))-G214</f>
        <v>0</v>
      </c>
      <c r="I214" s="25"/>
      <c r="J214" s="22">
        <f>INDEX(Notes!$I$2:$N$11,MATCH(Notes!$B$2,Notes!$I$2:$I$11,0),4)*$C214</f>
        <v>8249196</v>
      </c>
      <c r="K214" s="22">
        <f>INDEX(Notes!$I$2:$N$11,MATCH(Notes!$B$2,Notes!$I$2:$I$11,0),5)*$D214</f>
        <v>4098990</v>
      </c>
      <c r="L214" s="22">
        <f>INDEX(Notes!$I$2:$N$11,MATCH(Notes!$B$2,Notes!$I$2:$I$11,0),6)*$E214</f>
        <v>6148485</v>
      </c>
      <c r="M214" s="22">
        <f>IF(Notes!$B$2="June",'Payment Total'!$F214,0)</f>
        <v>2049496</v>
      </c>
      <c r="N214" s="22">
        <f t="shared" si="21"/>
        <v>0</v>
      </c>
      <c r="P214" s="26">
        <v>47250000</v>
      </c>
      <c r="Q214" s="26">
        <v>2049496</v>
      </c>
      <c r="R214" s="21" t="str">
        <f t="shared" si="22"/>
        <v>4725</v>
      </c>
      <c r="S214" s="44" t="str">
        <f t="shared" si="23"/>
        <v>4725</v>
      </c>
      <c r="T214" s="20">
        <f t="shared" si="24"/>
        <v>0</v>
      </c>
      <c r="V214" s="46" t="s">
        <v>865</v>
      </c>
      <c r="W214" s="26">
        <v>460402</v>
      </c>
      <c r="X214" s="21" t="str">
        <f t="shared" si="25"/>
        <v>4772</v>
      </c>
      <c r="Y214" s="44" t="str">
        <f t="shared" si="26"/>
        <v>4772</v>
      </c>
      <c r="Z214" s="45">
        <f t="shared" si="27"/>
        <v>0</v>
      </c>
    </row>
    <row r="215" spans="1:26" s="26" customFormat="1" ht="12.75" x14ac:dyDescent="0.2">
      <c r="A215" s="20" t="str">
        <f>Data!B210</f>
        <v>4772</v>
      </c>
      <c r="B215" s="21" t="str">
        <f>INDEX(Data[],MATCH($A215,Data[Dist],0),MATCH(B$6,Data[#Headers],0))</f>
        <v>Central Springs</v>
      </c>
      <c r="C215" s="22">
        <f>INDEX(Data[],MATCH($A215,Data[Dist],0),MATCH(C$6,Data[#Headers],0))</f>
        <v>463795</v>
      </c>
      <c r="D215" s="164">
        <f>INDEX(Data[],MATCH($A215,Data[Dist],0),MATCH(D$6,Data[#Headers],0))</f>
        <v>460402</v>
      </c>
      <c r="E215" s="164">
        <f>INDEX(Data[],MATCH($A215,Data[Dist],0),MATCH(E$6,Data[#Headers],0))</f>
        <v>460402</v>
      </c>
      <c r="F215" s="164">
        <f>INDEX(Data[],MATCH($A215,Data[Dist],0),MATCH(F$6,Data[#Headers],0))</f>
        <v>460402</v>
      </c>
      <c r="G215" s="22">
        <f>INDEX(Data[],MATCH($A215,Data[Dist],0),MATCH(G$6,Data[#Headers],0))</f>
        <v>4617592</v>
      </c>
      <c r="H215" s="22">
        <f>INDEX(Data[],MATCH($A215,Data[Dist],0),MATCH(H$6,Data[#Headers],0))-G215</f>
        <v>0</v>
      </c>
      <c r="I215" s="25"/>
      <c r="J215" s="22">
        <f>INDEX(Notes!$I$2:$N$11,MATCH(Notes!$B$2,Notes!$I$2:$I$11,0),4)*$C215</f>
        <v>1855180</v>
      </c>
      <c r="K215" s="22">
        <f>INDEX(Notes!$I$2:$N$11,MATCH(Notes!$B$2,Notes!$I$2:$I$11,0),5)*$D215</f>
        <v>920804</v>
      </c>
      <c r="L215" s="22">
        <f>INDEX(Notes!$I$2:$N$11,MATCH(Notes!$B$2,Notes!$I$2:$I$11,0),6)*$E215</f>
        <v>1381206</v>
      </c>
      <c r="M215" s="22">
        <f>IF(Notes!$B$2="June",'Payment Total'!$F215,0)</f>
        <v>460402</v>
      </c>
      <c r="N215" s="22">
        <f t="shared" si="21"/>
        <v>0</v>
      </c>
      <c r="P215" s="26">
        <v>47720000</v>
      </c>
      <c r="Q215" s="26">
        <v>460402</v>
      </c>
      <c r="R215" s="21" t="str">
        <f t="shared" si="22"/>
        <v>4772</v>
      </c>
      <c r="S215" s="44" t="str">
        <f t="shared" si="23"/>
        <v>4772</v>
      </c>
      <c r="T215" s="20">
        <f t="shared" si="24"/>
        <v>0</v>
      </c>
      <c r="V215" s="46" t="s">
        <v>1027</v>
      </c>
      <c r="W215" s="26">
        <v>282682</v>
      </c>
      <c r="X215" s="21" t="str">
        <f t="shared" si="25"/>
        <v>4773</v>
      </c>
      <c r="Y215" s="44" t="str">
        <f t="shared" si="26"/>
        <v>4773</v>
      </c>
      <c r="Z215" s="45">
        <f t="shared" si="27"/>
        <v>0</v>
      </c>
    </row>
    <row r="216" spans="1:26" s="26" customFormat="1" ht="12.75" x14ac:dyDescent="0.2">
      <c r="A216" s="20" t="str">
        <f>Data!B211</f>
        <v>4773</v>
      </c>
      <c r="B216" s="21" t="str">
        <f>INDEX(Data[],MATCH($A216,Data[Dist],0),MATCH(B$6,Data[#Headers],0))</f>
        <v>Northeast</v>
      </c>
      <c r="C216" s="22">
        <f>INDEX(Data[],MATCH($A216,Data[Dist],0),MATCH(C$6,Data[#Headers],0))</f>
        <v>284830</v>
      </c>
      <c r="D216" s="164">
        <f>INDEX(Data[],MATCH($A216,Data[Dist],0),MATCH(D$6,Data[#Headers],0))</f>
        <v>282681</v>
      </c>
      <c r="E216" s="164">
        <f>INDEX(Data[],MATCH($A216,Data[Dist],0),MATCH(E$6,Data[#Headers],0))</f>
        <v>282681</v>
      </c>
      <c r="F216" s="164">
        <f>INDEX(Data[],MATCH($A216,Data[Dist],0),MATCH(F$6,Data[#Headers],0))</f>
        <v>282682</v>
      </c>
      <c r="G216" s="22">
        <f>INDEX(Data[],MATCH($A216,Data[Dist],0),MATCH(G$6,Data[#Headers],0))</f>
        <v>2835407</v>
      </c>
      <c r="H216" s="22">
        <f>INDEX(Data[],MATCH($A216,Data[Dist],0),MATCH(H$6,Data[#Headers],0))-G216</f>
        <v>0</v>
      </c>
      <c r="I216" s="25"/>
      <c r="J216" s="22">
        <f>INDEX(Notes!$I$2:$N$11,MATCH(Notes!$B$2,Notes!$I$2:$I$11,0),4)*$C216</f>
        <v>1139320</v>
      </c>
      <c r="K216" s="22">
        <f>INDEX(Notes!$I$2:$N$11,MATCH(Notes!$B$2,Notes!$I$2:$I$11,0),5)*$D216</f>
        <v>565362</v>
      </c>
      <c r="L216" s="22">
        <f>INDEX(Notes!$I$2:$N$11,MATCH(Notes!$B$2,Notes!$I$2:$I$11,0),6)*$E216</f>
        <v>848043</v>
      </c>
      <c r="M216" s="22">
        <f>IF(Notes!$B$2="June",'Payment Total'!$F216,0)</f>
        <v>282682</v>
      </c>
      <c r="N216" s="22">
        <f t="shared" si="21"/>
        <v>0</v>
      </c>
      <c r="P216" s="26">
        <v>47730000</v>
      </c>
      <c r="Q216" s="26">
        <v>282682</v>
      </c>
      <c r="R216" s="21" t="str">
        <f t="shared" si="22"/>
        <v>4773</v>
      </c>
      <c r="S216" s="44" t="str">
        <f t="shared" si="23"/>
        <v>4773</v>
      </c>
      <c r="T216" s="20">
        <f t="shared" si="24"/>
        <v>0</v>
      </c>
      <c r="V216" s="46" t="s">
        <v>1017</v>
      </c>
      <c r="W216" s="26">
        <v>774636</v>
      </c>
      <c r="X216" s="21" t="str">
        <f t="shared" si="25"/>
        <v>4774</v>
      </c>
      <c r="Y216" s="44" t="str">
        <f t="shared" si="26"/>
        <v>4774</v>
      </c>
      <c r="Z216" s="45">
        <f t="shared" si="27"/>
        <v>0</v>
      </c>
    </row>
    <row r="217" spans="1:26" s="26" customFormat="1" ht="12.75" x14ac:dyDescent="0.2">
      <c r="A217" s="20" t="str">
        <f>Data!B212</f>
        <v>4774</v>
      </c>
      <c r="B217" s="21" t="str">
        <f>INDEX(Data[],MATCH($A217,Data[Dist],0),MATCH(B$6,Data[#Headers],0))</f>
        <v>North Fayette Valley</v>
      </c>
      <c r="C217" s="22">
        <f>INDEX(Data[],MATCH($A217,Data[Dist],0),MATCH(C$6,Data[#Headers],0))</f>
        <v>779358</v>
      </c>
      <c r="D217" s="164">
        <f>INDEX(Data[],MATCH($A217,Data[Dist],0),MATCH(D$6,Data[#Headers],0))</f>
        <v>774637</v>
      </c>
      <c r="E217" s="164">
        <f>INDEX(Data[],MATCH($A217,Data[Dist],0),MATCH(E$6,Data[#Headers],0))</f>
        <v>774638</v>
      </c>
      <c r="F217" s="164">
        <f>INDEX(Data[],MATCH($A217,Data[Dist],0),MATCH(F$6,Data[#Headers],0))</f>
        <v>774636</v>
      </c>
      <c r="G217" s="22">
        <f>INDEX(Data[],MATCH($A217,Data[Dist],0),MATCH(G$6,Data[#Headers],0))</f>
        <v>7765256</v>
      </c>
      <c r="H217" s="22">
        <f>INDEX(Data[],MATCH($A217,Data[Dist],0),MATCH(H$6,Data[#Headers],0))-G217</f>
        <v>0</v>
      </c>
      <c r="I217" s="25"/>
      <c r="J217" s="22">
        <f>INDEX(Notes!$I$2:$N$11,MATCH(Notes!$B$2,Notes!$I$2:$I$11,0),4)*$C217</f>
        <v>3117432</v>
      </c>
      <c r="K217" s="22">
        <f>INDEX(Notes!$I$2:$N$11,MATCH(Notes!$B$2,Notes!$I$2:$I$11,0),5)*$D217</f>
        <v>1549274</v>
      </c>
      <c r="L217" s="22">
        <f>INDEX(Notes!$I$2:$N$11,MATCH(Notes!$B$2,Notes!$I$2:$I$11,0),6)*$E217</f>
        <v>2323914</v>
      </c>
      <c r="M217" s="22">
        <f>IF(Notes!$B$2="June",'Payment Total'!$F217,0)</f>
        <v>774636</v>
      </c>
      <c r="N217" s="22">
        <f t="shared" si="21"/>
        <v>0</v>
      </c>
      <c r="P217" s="26">
        <v>47740000</v>
      </c>
      <c r="Q217" s="26">
        <v>774636</v>
      </c>
      <c r="R217" s="21" t="str">
        <f t="shared" si="22"/>
        <v>4774</v>
      </c>
      <c r="S217" s="44" t="str">
        <f t="shared" si="23"/>
        <v>4774</v>
      </c>
      <c r="T217" s="20">
        <f t="shared" si="24"/>
        <v>0</v>
      </c>
      <c r="V217" s="46" t="s">
        <v>1028</v>
      </c>
      <c r="W217" s="26">
        <v>56437</v>
      </c>
      <c r="X217" s="21" t="str">
        <f t="shared" si="25"/>
        <v>4775</v>
      </c>
      <c r="Y217" s="44" t="str">
        <f t="shared" si="26"/>
        <v>4775</v>
      </c>
      <c r="Z217" s="45">
        <f t="shared" si="27"/>
        <v>0</v>
      </c>
    </row>
    <row r="218" spans="1:26" s="26" customFormat="1" ht="12.75" x14ac:dyDescent="0.2">
      <c r="A218" s="20" t="str">
        <f>Data!B213</f>
        <v>4775</v>
      </c>
      <c r="B218" s="21" t="str">
        <f>INDEX(Data[],MATCH($A218,Data[Dist],0),MATCH(B$6,Data[#Headers],0))</f>
        <v>Northeast Hamilton</v>
      </c>
      <c r="C218" s="22">
        <f>INDEX(Data[],MATCH($A218,Data[Dist],0),MATCH(C$6,Data[#Headers],0))</f>
        <v>57233</v>
      </c>
      <c r="D218" s="164">
        <f>INDEX(Data[],MATCH($A218,Data[Dist],0),MATCH(D$6,Data[#Headers],0))</f>
        <v>56438</v>
      </c>
      <c r="E218" s="164">
        <f>INDEX(Data[],MATCH($A218,Data[Dist],0),MATCH(E$6,Data[#Headers],0))</f>
        <v>56438</v>
      </c>
      <c r="F218" s="164">
        <f>INDEX(Data[],MATCH($A218,Data[Dist],0),MATCH(F$6,Data[#Headers],0))</f>
        <v>56437</v>
      </c>
      <c r="G218" s="22">
        <f>INDEX(Data[],MATCH($A218,Data[Dist],0),MATCH(G$6,Data[#Headers],0))</f>
        <v>567559</v>
      </c>
      <c r="H218" s="22">
        <f>INDEX(Data[],MATCH($A218,Data[Dist],0),MATCH(H$6,Data[#Headers],0))-G218</f>
        <v>0</v>
      </c>
      <c r="I218" s="25"/>
      <c r="J218" s="22">
        <f>INDEX(Notes!$I$2:$N$11,MATCH(Notes!$B$2,Notes!$I$2:$I$11,0),4)*$C218</f>
        <v>228932</v>
      </c>
      <c r="K218" s="22">
        <f>INDEX(Notes!$I$2:$N$11,MATCH(Notes!$B$2,Notes!$I$2:$I$11,0),5)*$D218</f>
        <v>112876</v>
      </c>
      <c r="L218" s="22">
        <f>INDEX(Notes!$I$2:$N$11,MATCH(Notes!$B$2,Notes!$I$2:$I$11,0),6)*$E218</f>
        <v>169314</v>
      </c>
      <c r="M218" s="22">
        <f>IF(Notes!$B$2="June",'Payment Total'!$F218,0)</f>
        <v>56437</v>
      </c>
      <c r="N218" s="22">
        <f t="shared" si="21"/>
        <v>0</v>
      </c>
      <c r="P218" s="26">
        <v>47750000</v>
      </c>
      <c r="Q218" s="26">
        <v>56437</v>
      </c>
      <c r="R218" s="21" t="str">
        <f t="shared" si="22"/>
        <v>4775</v>
      </c>
      <c r="S218" s="44" t="str">
        <f t="shared" si="23"/>
        <v>4775</v>
      </c>
      <c r="T218" s="20">
        <f t="shared" si="24"/>
        <v>0</v>
      </c>
      <c r="V218" s="46" t="s">
        <v>1021</v>
      </c>
      <c r="W218" s="26">
        <v>264456</v>
      </c>
      <c r="X218" s="21" t="str">
        <f t="shared" si="25"/>
        <v>4776</v>
      </c>
      <c r="Y218" s="44" t="str">
        <f t="shared" si="26"/>
        <v>4776</v>
      </c>
      <c r="Z218" s="45">
        <f t="shared" si="27"/>
        <v>0</v>
      </c>
    </row>
    <row r="219" spans="1:26" s="26" customFormat="1" ht="12.75" x14ac:dyDescent="0.2">
      <c r="A219" s="20" t="str">
        <f>Data!B214</f>
        <v>4776</v>
      </c>
      <c r="B219" s="21" t="str">
        <f>INDEX(Data[],MATCH($A219,Data[Dist],0),MATCH(B$6,Data[#Headers],0))</f>
        <v>North Mahaska</v>
      </c>
      <c r="C219" s="22">
        <f>INDEX(Data[],MATCH($A219,Data[Dist],0),MATCH(C$6,Data[#Headers],0))</f>
        <v>266405</v>
      </c>
      <c r="D219" s="164">
        <f>INDEX(Data[],MATCH($A219,Data[Dist],0),MATCH(D$6,Data[#Headers],0))</f>
        <v>264456</v>
      </c>
      <c r="E219" s="164">
        <f>INDEX(Data[],MATCH($A219,Data[Dist],0),MATCH(E$6,Data[#Headers],0))</f>
        <v>264455</v>
      </c>
      <c r="F219" s="164">
        <f>INDEX(Data[],MATCH($A219,Data[Dist],0),MATCH(F$6,Data[#Headers],0))</f>
        <v>264456</v>
      </c>
      <c r="G219" s="22">
        <f>INDEX(Data[],MATCH($A219,Data[Dist],0),MATCH(G$6,Data[#Headers],0))</f>
        <v>2652353</v>
      </c>
      <c r="H219" s="22">
        <f>INDEX(Data[],MATCH($A219,Data[Dist],0),MATCH(H$6,Data[#Headers],0))-G219</f>
        <v>0</v>
      </c>
      <c r="I219" s="25"/>
      <c r="J219" s="22">
        <f>INDEX(Notes!$I$2:$N$11,MATCH(Notes!$B$2,Notes!$I$2:$I$11,0),4)*$C219</f>
        <v>1065620</v>
      </c>
      <c r="K219" s="22">
        <f>INDEX(Notes!$I$2:$N$11,MATCH(Notes!$B$2,Notes!$I$2:$I$11,0),5)*$D219</f>
        <v>528912</v>
      </c>
      <c r="L219" s="22">
        <f>INDEX(Notes!$I$2:$N$11,MATCH(Notes!$B$2,Notes!$I$2:$I$11,0),6)*$E219</f>
        <v>793365</v>
      </c>
      <c r="M219" s="22">
        <f>IF(Notes!$B$2="June",'Payment Total'!$F219,0)</f>
        <v>264456</v>
      </c>
      <c r="N219" s="22">
        <f t="shared" si="21"/>
        <v>0</v>
      </c>
      <c r="P219" s="26">
        <v>47760000</v>
      </c>
      <c r="Q219" s="26">
        <v>264456</v>
      </c>
      <c r="R219" s="21" t="str">
        <f t="shared" si="22"/>
        <v>4776</v>
      </c>
      <c r="S219" s="44" t="str">
        <f t="shared" si="23"/>
        <v>4776</v>
      </c>
      <c r="T219" s="20">
        <f t="shared" si="24"/>
        <v>0</v>
      </c>
      <c r="V219" s="46" t="s">
        <v>1020</v>
      </c>
      <c r="W219" s="26">
        <v>342310</v>
      </c>
      <c r="X219" s="21" t="str">
        <f t="shared" si="25"/>
        <v>4777</v>
      </c>
      <c r="Y219" s="44" t="str">
        <f t="shared" si="26"/>
        <v>4777</v>
      </c>
      <c r="Z219" s="45">
        <f t="shared" si="27"/>
        <v>0</v>
      </c>
    </row>
    <row r="220" spans="1:26" s="26" customFormat="1" ht="12.75" x14ac:dyDescent="0.2">
      <c r="A220" s="20" t="str">
        <f>Data!B215</f>
        <v>4777</v>
      </c>
      <c r="B220" s="21" t="str">
        <f>INDEX(Data[],MATCH($A220,Data[Dist],0),MATCH(B$6,Data[#Headers],0))</f>
        <v>North Linn</v>
      </c>
      <c r="C220" s="22">
        <f>INDEX(Data[],MATCH($A220,Data[Dist],0),MATCH(C$6,Data[#Headers],0))</f>
        <v>344845</v>
      </c>
      <c r="D220" s="164">
        <f>INDEX(Data[],MATCH($A220,Data[Dist],0),MATCH(D$6,Data[#Headers],0))</f>
        <v>342309</v>
      </c>
      <c r="E220" s="164">
        <f>INDEX(Data[],MATCH($A220,Data[Dist],0),MATCH(E$6,Data[#Headers],0))</f>
        <v>342309</v>
      </c>
      <c r="F220" s="164">
        <f>INDEX(Data[],MATCH($A220,Data[Dist],0),MATCH(F$6,Data[#Headers],0))</f>
        <v>342310</v>
      </c>
      <c r="G220" s="22">
        <f>INDEX(Data[],MATCH($A220,Data[Dist],0),MATCH(G$6,Data[#Headers],0))</f>
        <v>3433235</v>
      </c>
      <c r="H220" s="22">
        <f>INDEX(Data[],MATCH($A220,Data[Dist],0),MATCH(H$6,Data[#Headers],0))-G220</f>
        <v>0</v>
      </c>
      <c r="I220" s="25"/>
      <c r="J220" s="22">
        <f>INDEX(Notes!$I$2:$N$11,MATCH(Notes!$B$2,Notes!$I$2:$I$11,0),4)*$C220</f>
        <v>1379380</v>
      </c>
      <c r="K220" s="22">
        <f>INDEX(Notes!$I$2:$N$11,MATCH(Notes!$B$2,Notes!$I$2:$I$11,0),5)*$D220</f>
        <v>684618</v>
      </c>
      <c r="L220" s="22">
        <f>INDEX(Notes!$I$2:$N$11,MATCH(Notes!$B$2,Notes!$I$2:$I$11,0),6)*$E220</f>
        <v>1026927</v>
      </c>
      <c r="M220" s="22">
        <f>IF(Notes!$B$2="June",'Payment Total'!$F220,0)</f>
        <v>342310</v>
      </c>
      <c r="N220" s="22">
        <f t="shared" si="21"/>
        <v>0</v>
      </c>
      <c r="P220" s="26">
        <v>47770000</v>
      </c>
      <c r="Q220" s="26">
        <v>342310</v>
      </c>
      <c r="R220" s="21" t="str">
        <f t="shared" si="22"/>
        <v>4777</v>
      </c>
      <c r="S220" s="44" t="str">
        <f t="shared" si="23"/>
        <v>4777</v>
      </c>
      <c r="T220" s="20">
        <f t="shared" si="24"/>
        <v>0</v>
      </c>
      <c r="V220" s="46" t="s">
        <v>1019</v>
      </c>
      <c r="W220" s="26">
        <v>116114</v>
      </c>
      <c r="X220" s="21" t="str">
        <f t="shared" si="25"/>
        <v>4778</v>
      </c>
      <c r="Y220" s="44" t="str">
        <f t="shared" si="26"/>
        <v>4778</v>
      </c>
      <c r="Z220" s="45">
        <f t="shared" si="27"/>
        <v>0</v>
      </c>
    </row>
    <row r="221" spans="1:26" s="26" customFormat="1" ht="12.75" x14ac:dyDescent="0.2">
      <c r="A221" s="20" t="str">
        <f>Data!B216</f>
        <v>4778</v>
      </c>
      <c r="B221" s="21" t="str">
        <f>INDEX(Data[],MATCH($A221,Data[Dist],0),MATCH(B$6,Data[#Headers],0))</f>
        <v>North Kossuth</v>
      </c>
      <c r="C221" s="22">
        <f>INDEX(Data[],MATCH($A221,Data[Dist],0),MATCH(C$6,Data[#Headers],0))</f>
        <v>117286</v>
      </c>
      <c r="D221" s="164">
        <f>INDEX(Data[],MATCH($A221,Data[Dist],0),MATCH(D$6,Data[#Headers],0))</f>
        <v>116114</v>
      </c>
      <c r="E221" s="164">
        <f>INDEX(Data[],MATCH($A221,Data[Dist],0),MATCH(E$6,Data[#Headers],0))</f>
        <v>116113</v>
      </c>
      <c r="F221" s="164">
        <f>INDEX(Data[],MATCH($A221,Data[Dist],0),MATCH(F$6,Data[#Headers],0))</f>
        <v>116114</v>
      </c>
      <c r="G221" s="22">
        <f>INDEX(Data[],MATCH($A221,Data[Dist],0),MATCH(G$6,Data[#Headers],0))</f>
        <v>1165825</v>
      </c>
      <c r="H221" s="22">
        <f>INDEX(Data[],MATCH($A221,Data[Dist],0),MATCH(H$6,Data[#Headers],0))-G221</f>
        <v>0</v>
      </c>
      <c r="I221" s="25"/>
      <c r="J221" s="22">
        <f>INDEX(Notes!$I$2:$N$11,MATCH(Notes!$B$2,Notes!$I$2:$I$11,0),4)*$C221</f>
        <v>469144</v>
      </c>
      <c r="K221" s="22">
        <f>INDEX(Notes!$I$2:$N$11,MATCH(Notes!$B$2,Notes!$I$2:$I$11,0),5)*$D221</f>
        <v>232228</v>
      </c>
      <c r="L221" s="22">
        <f>INDEX(Notes!$I$2:$N$11,MATCH(Notes!$B$2,Notes!$I$2:$I$11,0),6)*$E221</f>
        <v>348339</v>
      </c>
      <c r="M221" s="22">
        <f>IF(Notes!$B$2="June",'Payment Total'!$F221,0)</f>
        <v>116114</v>
      </c>
      <c r="N221" s="22">
        <f t="shared" si="21"/>
        <v>0</v>
      </c>
      <c r="P221" s="26">
        <v>47780000</v>
      </c>
      <c r="Q221" s="26">
        <v>116114</v>
      </c>
      <c r="R221" s="21" t="str">
        <f t="shared" si="22"/>
        <v>4778</v>
      </c>
      <c r="S221" s="44" t="str">
        <f t="shared" si="23"/>
        <v>4778</v>
      </c>
      <c r="T221" s="20">
        <f t="shared" si="24"/>
        <v>0</v>
      </c>
      <c r="V221" s="46" t="s">
        <v>1022</v>
      </c>
      <c r="W221" s="26">
        <v>1017134</v>
      </c>
      <c r="X221" s="21" t="str">
        <f t="shared" si="25"/>
        <v>4779</v>
      </c>
      <c r="Y221" s="44" t="str">
        <f t="shared" si="26"/>
        <v>4779</v>
      </c>
      <c r="Z221" s="45">
        <f t="shared" si="27"/>
        <v>0</v>
      </c>
    </row>
    <row r="222" spans="1:26" s="26" customFormat="1" ht="12.75" x14ac:dyDescent="0.2">
      <c r="A222" s="20" t="str">
        <f>Data!B217</f>
        <v>4779</v>
      </c>
      <c r="B222" s="21" t="str">
        <f>INDEX(Data[],MATCH($A222,Data[Dist],0),MATCH(B$6,Data[#Headers],0))</f>
        <v>North Polk</v>
      </c>
      <c r="C222" s="22">
        <f>INDEX(Data[],MATCH($A222,Data[Dist],0),MATCH(C$6,Data[#Headers],0))</f>
        <v>1024145</v>
      </c>
      <c r="D222" s="164">
        <f>INDEX(Data[],MATCH($A222,Data[Dist],0),MATCH(D$6,Data[#Headers],0))</f>
        <v>1017135</v>
      </c>
      <c r="E222" s="164">
        <f>INDEX(Data[],MATCH($A222,Data[Dist],0),MATCH(E$6,Data[#Headers],0))</f>
        <v>1017136</v>
      </c>
      <c r="F222" s="164">
        <f>INDEX(Data[],MATCH($A222,Data[Dist],0),MATCH(F$6,Data[#Headers],0))</f>
        <v>1017134</v>
      </c>
      <c r="G222" s="22">
        <f>INDEX(Data[],MATCH($A222,Data[Dist],0),MATCH(G$6,Data[#Headers],0))</f>
        <v>10199392</v>
      </c>
      <c r="H222" s="22">
        <f>INDEX(Data[],MATCH($A222,Data[Dist],0),MATCH(H$6,Data[#Headers],0))-G222</f>
        <v>0</v>
      </c>
      <c r="I222" s="25"/>
      <c r="J222" s="22">
        <f>INDEX(Notes!$I$2:$N$11,MATCH(Notes!$B$2,Notes!$I$2:$I$11,0),4)*$C222</f>
        <v>4096580</v>
      </c>
      <c r="K222" s="22">
        <f>INDEX(Notes!$I$2:$N$11,MATCH(Notes!$B$2,Notes!$I$2:$I$11,0),5)*$D222</f>
        <v>2034270</v>
      </c>
      <c r="L222" s="22">
        <f>INDEX(Notes!$I$2:$N$11,MATCH(Notes!$B$2,Notes!$I$2:$I$11,0),6)*$E222</f>
        <v>3051408</v>
      </c>
      <c r="M222" s="22">
        <f>IF(Notes!$B$2="June",'Payment Total'!$F222,0)</f>
        <v>1017134</v>
      </c>
      <c r="N222" s="22">
        <f t="shared" si="21"/>
        <v>0</v>
      </c>
      <c r="P222" s="26">
        <v>47790000</v>
      </c>
      <c r="Q222" s="26">
        <v>1017134</v>
      </c>
      <c r="R222" s="21" t="str">
        <f t="shared" si="22"/>
        <v>4779</v>
      </c>
      <c r="S222" s="44" t="str">
        <f t="shared" si="23"/>
        <v>4779</v>
      </c>
      <c r="T222" s="20">
        <f t="shared" si="24"/>
        <v>0</v>
      </c>
      <c r="V222" s="46" t="s">
        <v>1023</v>
      </c>
      <c r="W222" s="26">
        <v>1712020</v>
      </c>
      <c r="X222" s="21" t="str">
        <f t="shared" si="25"/>
        <v>4784</v>
      </c>
      <c r="Y222" s="44" t="str">
        <f t="shared" si="26"/>
        <v>4784</v>
      </c>
      <c r="Z222" s="45">
        <f t="shared" si="27"/>
        <v>0</v>
      </c>
    </row>
    <row r="223" spans="1:26" s="26" customFormat="1" ht="12.75" x14ac:dyDescent="0.2">
      <c r="A223" s="20" t="str">
        <f>Data!B218</f>
        <v>4784</v>
      </c>
      <c r="B223" s="21" t="str">
        <f>INDEX(Data[],MATCH($A223,Data[Dist],0),MATCH(B$6,Data[#Headers],0))</f>
        <v>North Scott</v>
      </c>
      <c r="C223" s="22">
        <f>INDEX(Data[],MATCH($A223,Data[Dist],0),MATCH(C$6,Data[#Headers],0))</f>
        <v>1724655</v>
      </c>
      <c r="D223" s="164">
        <f>INDEX(Data[],MATCH($A223,Data[Dist],0),MATCH(D$6,Data[#Headers],0))</f>
        <v>1712019</v>
      </c>
      <c r="E223" s="164">
        <f>INDEX(Data[],MATCH($A223,Data[Dist],0),MATCH(E$6,Data[#Headers],0))</f>
        <v>1712019</v>
      </c>
      <c r="F223" s="164">
        <f>INDEX(Data[],MATCH($A223,Data[Dist],0),MATCH(F$6,Data[#Headers],0))</f>
        <v>1712020</v>
      </c>
      <c r="G223" s="22">
        <f>INDEX(Data[],MATCH($A223,Data[Dist],0),MATCH(G$6,Data[#Headers],0))</f>
        <v>17170735</v>
      </c>
      <c r="H223" s="22">
        <f>INDEX(Data[],MATCH($A223,Data[Dist],0),MATCH(H$6,Data[#Headers],0))-G223</f>
        <v>0</v>
      </c>
      <c r="I223" s="25"/>
      <c r="J223" s="22">
        <f>INDEX(Notes!$I$2:$N$11,MATCH(Notes!$B$2,Notes!$I$2:$I$11,0),4)*$C223</f>
        <v>6898620</v>
      </c>
      <c r="K223" s="22">
        <f>INDEX(Notes!$I$2:$N$11,MATCH(Notes!$B$2,Notes!$I$2:$I$11,0),5)*$D223</f>
        <v>3424038</v>
      </c>
      <c r="L223" s="22">
        <f>INDEX(Notes!$I$2:$N$11,MATCH(Notes!$B$2,Notes!$I$2:$I$11,0),6)*$E223</f>
        <v>5136057</v>
      </c>
      <c r="M223" s="22">
        <f>IF(Notes!$B$2="June",'Payment Total'!$F223,0)</f>
        <v>1712020</v>
      </c>
      <c r="N223" s="22">
        <f t="shared" si="21"/>
        <v>0</v>
      </c>
      <c r="P223" s="26">
        <v>47840000</v>
      </c>
      <c r="Q223" s="26">
        <v>1712020</v>
      </c>
      <c r="R223" s="21" t="str">
        <f t="shared" si="22"/>
        <v>4784</v>
      </c>
      <c r="S223" s="44" t="str">
        <f t="shared" si="23"/>
        <v>4784</v>
      </c>
      <c r="T223" s="20">
        <f t="shared" si="24"/>
        <v>0</v>
      </c>
      <c r="V223" s="46" t="s">
        <v>1024</v>
      </c>
      <c r="W223" s="26">
        <v>246980</v>
      </c>
      <c r="X223" s="21" t="str">
        <f t="shared" si="25"/>
        <v>4785</v>
      </c>
      <c r="Y223" s="44" t="str">
        <f t="shared" si="26"/>
        <v>4785</v>
      </c>
      <c r="Z223" s="45">
        <f t="shared" si="27"/>
        <v>0</v>
      </c>
    </row>
    <row r="224" spans="1:26" s="26" customFormat="1" ht="12.75" x14ac:dyDescent="0.2">
      <c r="A224" s="20" t="str">
        <f>Data!B219</f>
        <v>4785</v>
      </c>
      <c r="B224" s="21" t="str">
        <f>INDEX(Data[],MATCH($A224,Data[Dist],0),MATCH(B$6,Data[#Headers],0))</f>
        <v>North Tama</v>
      </c>
      <c r="C224" s="22">
        <f>INDEX(Data[],MATCH($A224,Data[Dist],0),MATCH(C$6,Data[#Headers],0))</f>
        <v>248834</v>
      </c>
      <c r="D224" s="164">
        <f>INDEX(Data[],MATCH($A224,Data[Dist],0),MATCH(D$6,Data[#Headers],0))</f>
        <v>246981</v>
      </c>
      <c r="E224" s="164">
        <f>INDEX(Data[],MATCH($A224,Data[Dist],0),MATCH(E$6,Data[#Headers],0))</f>
        <v>246982</v>
      </c>
      <c r="F224" s="164">
        <f>INDEX(Data[],MATCH($A224,Data[Dist],0),MATCH(F$6,Data[#Headers],0))</f>
        <v>246980</v>
      </c>
      <c r="G224" s="22">
        <f>INDEX(Data[],MATCH($A224,Data[Dist],0),MATCH(G$6,Data[#Headers],0))</f>
        <v>2477224</v>
      </c>
      <c r="H224" s="22">
        <f>INDEX(Data[],MATCH($A224,Data[Dist],0),MATCH(H$6,Data[#Headers],0))-G224</f>
        <v>0</v>
      </c>
      <c r="I224" s="25"/>
      <c r="J224" s="22">
        <f>INDEX(Notes!$I$2:$N$11,MATCH(Notes!$B$2,Notes!$I$2:$I$11,0),4)*$C224</f>
        <v>995336</v>
      </c>
      <c r="K224" s="22">
        <f>INDEX(Notes!$I$2:$N$11,MATCH(Notes!$B$2,Notes!$I$2:$I$11,0),5)*$D224</f>
        <v>493962</v>
      </c>
      <c r="L224" s="22">
        <f>INDEX(Notes!$I$2:$N$11,MATCH(Notes!$B$2,Notes!$I$2:$I$11,0),6)*$E224</f>
        <v>740946</v>
      </c>
      <c r="M224" s="22">
        <f>IF(Notes!$B$2="June",'Payment Total'!$F224,0)</f>
        <v>246980</v>
      </c>
      <c r="N224" s="22">
        <f t="shared" si="21"/>
        <v>0</v>
      </c>
      <c r="P224" s="26">
        <v>47850000</v>
      </c>
      <c r="Q224" s="26">
        <v>246980</v>
      </c>
      <c r="R224" s="21" t="str">
        <f t="shared" si="22"/>
        <v>4785</v>
      </c>
      <c r="S224" s="44" t="str">
        <f t="shared" si="23"/>
        <v>4785</v>
      </c>
      <c r="T224" s="20">
        <f t="shared" si="24"/>
        <v>0</v>
      </c>
      <c r="V224" s="46" t="s">
        <v>1026</v>
      </c>
      <c r="W224" s="26">
        <v>138149</v>
      </c>
      <c r="X224" s="21" t="str">
        <f t="shared" si="25"/>
        <v>4787</v>
      </c>
      <c r="Y224" s="44" t="str">
        <f t="shared" si="26"/>
        <v>4787</v>
      </c>
      <c r="Z224" s="45">
        <f t="shared" si="27"/>
        <v>0</v>
      </c>
    </row>
    <row r="225" spans="1:26" s="26" customFormat="1" ht="12.75" x14ac:dyDescent="0.2">
      <c r="A225" s="20" t="str">
        <f>Data!B220</f>
        <v>4787</v>
      </c>
      <c r="B225" s="21" t="str">
        <f>INDEX(Data[],MATCH($A225,Data[Dist],0),MATCH(B$6,Data[#Headers],0))</f>
        <v>North Winneshiek</v>
      </c>
      <c r="C225" s="22">
        <f>INDEX(Data[],MATCH($A225,Data[Dist],0),MATCH(C$6,Data[#Headers],0))</f>
        <v>139299</v>
      </c>
      <c r="D225" s="164">
        <f>INDEX(Data[],MATCH($A225,Data[Dist],0),MATCH(D$6,Data[#Headers],0))</f>
        <v>138151</v>
      </c>
      <c r="E225" s="164">
        <f>INDEX(Data[],MATCH($A225,Data[Dist],0),MATCH(E$6,Data[#Headers],0))</f>
        <v>138151</v>
      </c>
      <c r="F225" s="164">
        <f>INDEX(Data[],MATCH($A225,Data[Dist],0),MATCH(F$6,Data[#Headers],0))</f>
        <v>138149</v>
      </c>
      <c r="G225" s="22">
        <f>INDEX(Data[],MATCH($A225,Data[Dist],0),MATCH(G$6,Data[#Headers],0))</f>
        <v>1386100</v>
      </c>
      <c r="H225" s="22">
        <f>INDEX(Data[],MATCH($A225,Data[Dist],0),MATCH(H$6,Data[#Headers],0))-G225</f>
        <v>0</v>
      </c>
      <c r="I225" s="25"/>
      <c r="J225" s="22">
        <f>INDEX(Notes!$I$2:$N$11,MATCH(Notes!$B$2,Notes!$I$2:$I$11,0),4)*$C225</f>
        <v>557196</v>
      </c>
      <c r="K225" s="22">
        <f>INDEX(Notes!$I$2:$N$11,MATCH(Notes!$B$2,Notes!$I$2:$I$11,0),5)*$D225</f>
        <v>276302</v>
      </c>
      <c r="L225" s="22">
        <f>INDEX(Notes!$I$2:$N$11,MATCH(Notes!$B$2,Notes!$I$2:$I$11,0),6)*$E225</f>
        <v>414453</v>
      </c>
      <c r="M225" s="22">
        <f>IF(Notes!$B$2="June",'Payment Total'!$F225,0)</f>
        <v>138149</v>
      </c>
      <c r="N225" s="22">
        <f t="shared" si="21"/>
        <v>0</v>
      </c>
      <c r="P225" s="26">
        <v>47870000</v>
      </c>
      <c r="Q225" s="26">
        <v>138149</v>
      </c>
      <c r="R225" s="21" t="str">
        <f t="shared" si="22"/>
        <v>4787</v>
      </c>
      <c r="S225" s="44" t="str">
        <f t="shared" si="23"/>
        <v>4787</v>
      </c>
      <c r="T225" s="20">
        <f t="shared" si="24"/>
        <v>0</v>
      </c>
      <c r="V225" s="46" t="s">
        <v>1029</v>
      </c>
      <c r="W225" s="26">
        <v>274017</v>
      </c>
      <c r="X225" s="21" t="str">
        <f t="shared" si="25"/>
        <v>4788</v>
      </c>
      <c r="Y225" s="44" t="str">
        <f t="shared" si="26"/>
        <v>4788</v>
      </c>
      <c r="Z225" s="45">
        <f t="shared" si="27"/>
        <v>0</v>
      </c>
    </row>
    <row r="226" spans="1:26" s="26" customFormat="1" ht="12.75" x14ac:dyDescent="0.2">
      <c r="A226" s="20" t="str">
        <f>Data!B221</f>
        <v>4788</v>
      </c>
      <c r="B226" s="21" t="str">
        <f>INDEX(Data[],MATCH($A226,Data[Dist],0),MATCH(B$6,Data[#Headers],0))</f>
        <v>Northwood-Kensett</v>
      </c>
      <c r="C226" s="22">
        <f>INDEX(Data[],MATCH($A226,Data[Dist],0),MATCH(C$6,Data[#Headers],0))</f>
        <v>276133</v>
      </c>
      <c r="D226" s="164">
        <f>INDEX(Data[],MATCH($A226,Data[Dist],0),MATCH(D$6,Data[#Headers],0))</f>
        <v>274018</v>
      </c>
      <c r="E226" s="164">
        <f>INDEX(Data[],MATCH($A226,Data[Dist],0),MATCH(E$6,Data[#Headers],0))</f>
        <v>274018</v>
      </c>
      <c r="F226" s="164">
        <f>INDEX(Data[],MATCH($A226,Data[Dist],0),MATCH(F$6,Data[#Headers],0))</f>
        <v>274017</v>
      </c>
      <c r="G226" s="22">
        <f>INDEX(Data[],MATCH($A226,Data[Dist],0),MATCH(G$6,Data[#Headers],0))</f>
        <v>2748639</v>
      </c>
      <c r="H226" s="22">
        <f>INDEX(Data[],MATCH($A226,Data[Dist],0),MATCH(H$6,Data[#Headers],0))-G226</f>
        <v>0</v>
      </c>
      <c r="I226" s="25"/>
      <c r="J226" s="22">
        <f>INDEX(Notes!$I$2:$N$11,MATCH(Notes!$B$2,Notes!$I$2:$I$11,0),4)*$C226</f>
        <v>1104532</v>
      </c>
      <c r="K226" s="22">
        <f>INDEX(Notes!$I$2:$N$11,MATCH(Notes!$B$2,Notes!$I$2:$I$11,0),5)*$D226</f>
        <v>548036</v>
      </c>
      <c r="L226" s="22">
        <f>INDEX(Notes!$I$2:$N$11,MATCH(Notes!$B$2,Notes!$I$2:$I$11,0),6)*$E226</f>
        <v>822054</v>
      </c>
      <c r="M226" s="22">
        <f>IF(Notes!$B$2="June",'Payment Total'!$F226,0)</f>
        <v>274017</v>
      </c>
      <c r="N226" s="22">
        <f t="shared" si="21"/>
        <v>0</v>
      </c>
      <c r="P226" s="26">
        <v>47880000</v>
      </c>
      <c r="Q226" s="26">
        <v>274017</v>
      </c>
      <c r="R226" s="21" t="str">
        <f t="shared" si="22"/>
        <v>4788</v>
      </c>
      <c r="S226" s="44" t="str">
        <f t="shared" si="23"/>
        <v>4788</v>
      </c>
      <c r="T226" s="20">
        <f t="shared" si="24"/>
        <v>0</v>
      </c>
      <c r="V226" s="46" t="s">
        <v>1030</v>
      </c>
      <c r="W226" s="26">
        <v>1956018</v>
      </c>
      <c r="X226" s="21" t="str">
        <f t="shared" si="25"/>
        <v>4797</v>
      </c>
      <c r="Y226" s="44" t="str">
        <f t="shared" si="26"/>
        <v>4797</v>
      </c>
      <c r="Z226" s="45">
        <f t="shared" si="27"/>
        <v>0</v>
      </c>
    </row>
    <row r="227" spans="1:26" s="26" customFormat="1" ht="12.75" x14ac:dyDescent="0.2">
      <c r="A227" s="20" t="str">
        <f>Data!B222</f>
        <v>4797</v>
      </c>
      <c r="B227" s="21" t="str">
        <f>INDEX(Data[],MATCH($A227,Data[Dist],0),MATCH(B$6,Data[#Headers],0))</f>
        <v>Norwalk</v>
      </c>
      <c r="C227" s="22">
        <f>INDEX(Data[],MATCH($A227,Data[Dist],0),MATCH(C$6,Data[#Headers],0))</f>
        <v>1967804</v>
      </c>
      <c r="D227" s="164">
        <f>INDEX(Data[],MATCH($A227,Data[Dist],0),MATCH(D$6,Data[#Headers],0))</f>
        <v>1956018</v>
      </c>
      <c r="E227" s="164">
        <f>INDEX(Data[],MATCH($A227,Data[Dist],0),MATCH(E$6,Data[#Headers],0))</f>
        <v>1956017</v>
      </c>
      <c r="F227" s="164">
        <f>INDEX(Data[],MATCH($A227,Data[Dist],0),MATCH(F$6,Data[#Headers],0))</f>
        <v>1956018</v>
      </c>
      <c r="G227" s="22">
        <f>INDEX(Data[],MATCH($A227,Data[Dist],0),MATCH(G$6,Data[#Headers],0))</f>
        <v>19607321</v>
      </c>
      <c r="H227" s="22">
        <f>INDEX(Data[],MATCH($A227,Data[Dist],0),MATCH(H$6,Data[#Headers],0))-G227</f>
        <v>0</v>
      </c>
      <c r="I227" s="25"/>
      <c r="J227" s="22">
        <f>INDEX(Notes!$I$2:$N$11,MATCH(Notes!$B$2,Notes!$I$2:$I$11,0),4)*$C227</f>
        <v>7871216</v>
      </c>
      <c r="K227" s="22">
        <f>INDEX(Notes!$I$2:$N$11,MATCH(Notes!$B$2,Notes!$I$2:$I$11,0),5)*$D227</f>
        <v>3912036</v>
      </c>
      <c r="L227" s="22">
        <f>INDEX(Notes!$I$2:$N$11,MATCH(Notes!$B$2,Notes!$I$2:$I$11,0),6)*$E227</f>
        <v>5868051</v>
      </c>
      <c r="M227" s="22">
        <f>IF(Notes!$B$2="June",'Payment Total'!$F227,0)</f>
        <v>1956018</v>
      </c>
      <c r="N227" s="22">
        <f t="shared" si="21"/>
        <v>0</v>
      </c>
      <c r="P227" s="26">
        <v>47970000</v>
      </c>
      <c r="Q227" s="26">
        <v>1956018</v>
      </c>
      <c r="R227" s="21" t="str">
        <f t="shared" si="22"/>
        <v>4797</v>
      </c>
      <c r="S227" s="44" t="str">
        <f t="shared" si="23"/>
        <v>4797</v>
      </c>
      <c r="T227" s="20">
        <f t="shared" si="24"/>
        <v>0</v>
      </c>
      <c r="V227" s="46" t="s">
        <v>1031</v>
      </c>
      <c r="W227" s="26">
        <v>572719</v>
      </c>
      <c r="X227" s="21" t="str">
        <f t="shared" si="25"/>
        <v>4860</v>
      </c>
      <c r="Y227" s="44" t="str">
        <f t="shared" si="26"/>
        <v>4860</v>
      </c>
      <c r="Z227" s="45">
        <f t="shared" si="27"/>
        <v>0</v>
      </c>
    </row>
    <row r="228" spans="1:26" s="26" customFormat="1" ht="12.75" x14ac:dyDescent="0.2">
      <c r="A228" s="20" t="str">
        <f>Data!B223</f>
        <v>4824</v>
      </c>
      <c r="B228" s="21" t="str">
        <f>INDEX(Data[],MATCH($A228,Data[Dist],0),MATCH(B$6,Data[#Headers],0))</f>
        <v>Riverside</v>
      </c>
      <c r="C228" s="22">
        <f>INDEX(Data[],MATCH($A228,Data[Dist],0),MATCH(C$6,Data[#Headers],0))</f>
        <v>356099</v>
      </c>
      <c r="D228" s="164">
        <f>INDEX(Data[],MATCH($A228,Data[Dist],0),MATCH(D$6,Data[#Headers],0))</f>
        <v>353222</v>
      </c>
      <c r="E228" s="164">
        <f>INDEX(Data[],MATCH($A228,Data[Dist],0),MATCH(E$6,Data[#Headers],0))</f>
        <v>353222</v>
      </c>
      <c r="F228" s="164">
        <f>INDEX(Data[],MATCH($A228,Data[Dist],0),MATCH(F$6,Data[#Headers],0))</f>
        <v>353223</v>
      </c>
      <c r="G228" s="22">
        <f>INDEX(Data[],MATCH($A228,Data[Dist],0),MATCH(G$6,Data[#Headers],0))</f>
        <v>3543729</v>
      </c>
      <c r="H228" s="22">
        <f>INDEX(Data[],MATCH($A228,Data[Dist],0),MATCH(H$6,Data[#Headers],0))-G228</f>
        <v>0</v>
      </c>
      <c r="I228" s="25"/>
      <c r="J228" s="22">
        <f>INDEX(Notes!$I$2:$N$11,MATCH(Notes!$B$2,Notes!$I$2:$I$11,0),4)*$C228</f>
        <v>1424396</v>
      </c>
      <c r="K228" s="22">
        <f>INDEX(Notes!$I$2:$N$11,MATCH(Notes!$B$2,Notes!$I$2:$I$11,0),5)*$D228</f>
        <v>706444</v>
      </c>
      <c r="L228" s="22">
        <f>INDEX(Notes!$I$2:$N$11,MATCH(Notes!$B$2,Notes!$I$2:$I$11,0),6)*$E228</f>
        <v>1059666</v>
      </c>
      <c r="M228" s="22">
        <f>IF(Notes!$B$2="June",'Payment Total'!$F228,0)</f>
        <v>353223</v>
      </c>
      <c r="N228" s="22">
        <f t="shared" si="21"/>
        <v>0</v>
      </c>
      <c r="P228" s="26">
        <v>55100000</v>
      </c>
      <c r="Q228" s="26">
        <v>353223</v>
      </c>
      <c r="R228" s="21" t="str">
        <f t="shared" si="22"/>
        <v>5510</v>
      </c>
      <c r="S228" s="44" t="str">
        <f t="shared" si="23"/>
        <v>4824</v>
      </c>
      <c r="T228" s="20">
        <f t="shared" si="24"/>
        <v>0</v>
      </c>
      <c r="V228" s="46" t="s">
        <v>1032</v>
      </c>
      <c r="W228" s="26">
        <v>881273</v>
      </c>
      <c r="X228" s="21" t="str">
        <f t="shared" si="25"/>
        <v>4869</v>
      </c>
      <c r="Y228" s="44" t="str">
        <f t="shared" si="26"/>
        <v>4869</v>
      </c>
      <c r="Z228" s="45">
        <f t="shared" si="27"/>
        <v>0</v>
      </c>
    </row>
    <row r="229" spans="1:26" s="26" customFormat="1" ht="12.75" x14ac:dyDescent="0.2">
      <c r="A229" s="20" t="str">
        <f>Data!B224</f>
        <v>4860</v>
      </c>
      <c r="B229" s="21" t="str">
        <f>INDEX(Data[],MATCH($A229,Data[Dist],0),MATCH(B$6,Data[#Headers],0))</f>
        <v>Odebolt Arthur Battle Creek Ida Gr</v>
      </c>
      <c r="C229" s="22">
        <f>INDEX(Data[],MATCH($A229,Data[Dist],0),MATCH(C$6,Data[#Headers],0))</f>
        <v>576793</v>
      </c>
      <c r="D229" s="164">
        <f>INDEX(Data[],MATCH($A229,Data[Dist],0),MATCH(D$6,Data[#Headers],0))</f>
        <v>572719</v>
      </c>
      <c r="E229" s="164">
        <f>INDEX(Data[],MATCH($A229,Data[Dist],0),MATCH(E$6,Data[#Headers],0))</f>
        <v>572718</v>
      </c>
      <c r="F229" s="164">
        <f>INDEX(Data[],MATCH($A229,Data[Dist],0),MATCH(F$6,Data[#Headers],0))</f>
        <v>572719</v>
      </c>
      <c r="G229" s="22">
        <f>INDEX(Data[],MATCH($A229,Data[Dist],0),MATCH(G$6,Data[#Headers],0))</f>
        <v>5743483</v>
      </c>
      <c r="H229" s="22">
        <f>INDEX(Data[],MATCH($A229,Data[Dist],0),MATCH(H$6,Data[#Headers],0))-G229</f>
        <v>0</v>
      </c>
      <c r="I229" s="25"/>
      <c r="J229" s="22">
        <f>INDEX(Notes!$I$2:$N$11,MATCH(Notes!$B$2,Notes!$I$2:$I$11,0),4)*$C229</f>
        <v>2307172</v>
      </c>
      <c r="K229" s="22">
        <f>INDEX(Notes!$I$2:$N$11,MATCH(Notes!$B$2,Notes!$I$2:$I$11,0),5)*$D229</f>
        <v>1145438</v>
      </c>
      <c r="L229" s="22">
        <f>INDEX(Notes!$I$2:$N$11,MATCH(Notes!$B$2,Notes!$I$2:$I$11,0),6)*$E229</f>
        <v>1718154</v>
      </c>
      <c r="M229" s="22">
        <f>IF(Notes!$B$2="June",'Payment Total'!$F229,0)</f>
        <v>572719</v>
      </c>
      <c r="N229" s="22">
        <f t="shared" si="21"/>
        <v>0</v>
      </c>
      <c r="P229" s="26">
        <v>48600000</v>
      </c>
      <c r="Q229" s="26">
        <v>572719</v>
      </c>
      <c r="R229" s="21" t="str">
        <f t="shared" si="22"/>
        <v>4860</v>
      </c>
      <c r="S229" s="44" t="str">
        <f t="shared" si="23"/>
        <v>4860</v>
      </c>
      <c r="T229" s="20">
        <f t="shared" si="24"/>
        <v>0</v>
      </c>
      <c r="V229" s="46" t="s">
        <v>1033</v>
      </c>
      <c r="W229" s="26">
        <v>348135</v>
      </c>
      <c r="X229" s="21" t="str">
        <f t="shared" si="25"/>
        <v>4878</v>
      </c>
      <c r="Y229" s="44" t="str">
        <f t="shared" si="26"/>
        <v>4878</v>
      </c>
      <c r="Z229" s="45">
        <f t="shared" si="27"/>
        <v>0</v>
      </c>
    </row>
    <row r="230" spans="1:26" s="26" customFormat="1" ht="12.75" x14ac:dyDescent="0.2">
      <c r="A230" s="20" t="str">
        <f>Data!B225</f>
        <v>4869</v>
      </c>
      <c r="B230" s="21" t="str">
        <f>INDEX(Data[],MATCH($A230,Data[Dist],0),MATCH(B$6,Data[#Headers],0))</f>
        <v>Oelwein</v>
      </c>
      <c r="C230" s="22">
        <f>INDEX(Data[],MATCH($A230,Data[Dist],0),MATCH(C$6,Data[#Headers],0))</f>
        <v>886498</v>
      </c>
      <c r="D230" s="164">
        <f>INDEX(Data[],MATCH($A230,Data[Dist],0),MATCH(D$6,Data[#Headers],0))</f>
        <v>881272</v>
      </c>
      <c r="E230" s="164">
        <f>INDEX(Data[],MATCH($A230,Data[Dist],0),MATCH(E$6,Data[#Headers],0))</f>
        <v>881272</v>
      </c>
      <c r="F230" s="164">
        <f>INDEX(Data[],MATCH($A230,Data[Dist],0),MATCH(F$6,Data[#Headers],0))</f>
        <v>881273</v>
      </c>
      <c r="G230" s="22">
        <f>INDEX(Data[],MATCH($A230,Data[Dist],0),MATCH(G$6,Data[#Headers],0))</f>
        <v>8833625</v>
      </c>
      <c r="H230" s="22">
        <f>INDEX(Data[],MATCH($A230,Data[Dist],0),MATCH(H$6,Data[#Headers],0))-G230</f>
        <v>0</v>
      </c>
      <c r="I230" s="25"/>
      <c r="J230" s="22">
        <f>INDEX(Notes!$I$2:$N$11,MATCH(Notes!$B$2,Notes!$I$2:$I$11,0),4)*$C230</f>
        <v>3545992</v>
      </c>
      <c r="K230" s="22">
        <f>INDEX(Notes!$I$2:$N$11,MATCH(Notes!$B$2,Notes!$I$2:$I$11,0),5)*$D230</f>
        <v>1762544</v>
      </c>
      <c r="L230" s="22">
        <f>INDEX(Notes!$I$2:$N$11,MATCH(Notes!$B$2,Notes!$I$2:$I$11,0),6)*$E230</f>
        <v>2643816</v>
      </c>
      <c r="M230" s="22">
        <f>IF(Notes!$B$2="June",'Payment Total'!$F230,0)</f>
        <v>881273</v>
      </c>
      <c r="N230" s="22">
        <f t="shared" si="21"/>
        <v>0</v>
      </c>
      <c r="P230" s="26">
        <v>48690000</v>
      </c>
      <c r="Q230" s="26">
        <v>881273</v>
      </c>
      <c r="R230" s="21" t="str">
        <f t="shared" si="22"/>
        <v>4869</v>
      </c>
      <c r="S230" s="44" t="str">
        <f t="shared" si="23"/>
        <v>4869</v>
      </c>
      <c r="T230" s="20">
        <f t="shared" si="24"/>
        <v>0</v>
      </c>
      <c r="V230" s="46" t="s">
        <v>1034</v>
      </c>
      <c r="W230" s="26">
        <v>16433</v>
      </c>
      <c r="X230" s="21" t="str">
        <f t="shared" si="25"/>
        <v>4890</v>
      </c>
      <c r="Y230" s="44" t="str">
        <f t="shared" si="26"/>
        <v>4890</v>
      </c>
      <c r="Z230" s="45">
        <f t="shared" si="27"/>
        <v>0</v>
      </c>
    </row>
    <row r="231" spans="1:26" s="26" customFormat="1" ht="12.75" x14ac:dyDescent="0.2">
      <c r="A231" s="20" t="str">
        <f>Data!B226</f>
        <v>4878</v>
      </c>
      <c r="B231" s="21" t="str">
        <f>INDEX(Data[],MATCH($A231,Data[Dist],0),MATCH(B$6,Data[#Headers],0))</f>
        <v>Ogden</v>
      </c>
      <c r="C231" s="22">
        <f>INDEX(Data[],MATCH($A231,Data[Dist],0),MATCH(C$6,Data[#Headers],0))</f>
        <v>350709</v>
      </c>
      <c r="D231" s="164">
        <f>INDEX(Data[],MATCH($A231,Data[Dist],0),MATCH(D$6,Data[#Headers],0))</f>
        <v>348136</v>
      </c>
      <c r="E231" s="164">
        <f>INDEX(Data[],MATCH($A231,Data[Dist],0),MATCH(E$6,Data[#Headers],0))</f>
        <v>348136</v>
      </c>
      <c r="F231" s="164">
        <f>INDEX(Data[],MATCH($A231,Data[Dist],0),MATCH(F$6,Data[#Headers],0))</f>
        <v>348135</v>
      </c>
      <c r="G231" s="22">
        <f>INDEX(Data[],MATCH($A231,Data[Dist],0),MATCH(G$6,Data[#Headers],0))</f>
        <v>3491651</v>
      </c>
      <c r="H231" s="22">
        <f>INDEX(Data[],MATCH($A231,Data[Dist],0),MATCH(H$6,Data[#Headers],0))-G231</f>
        <v>0</v>
      </c>
      <c r="I231" s="25"/>
      <c r="J231" s="22">
        <f>INDEX(Notes!$I$2:$N$11,MATCH(Notes!$B$2,Notes!$I$2:$I$11,0),4)*$C231</f>
        <v>1402836</v>
      </c>
      <c r="K231" s="22">
        <f>INDEX(Notes!$I$2:$N$11,MATCH(Notes!$B$2,Notes!$I$2:$I$11,0),5)*$D231</f>
        <v>696272</v>
      </c>
      <c r="L231" s="22">
        <f>INDEX(Notes!$I$2:$N$11,MATCH(Notes!$B$2,Notes!$I$2:$I$11,0),6)*$E231</f>
        <v>1044408</v>
      </c>
      <c r="M231" s="22">
        <f>IF(Notes!$B$2="June",'Payment Total'!$F231,0)</f>
        <v>348135</v>
      </c>
      <c r="N231" s="22">
        <f t="shared" si="21"/>
        <v>0</v>
      </c>
      <c r="P231" s="26">
        <v>48780000</v>
      </c>
      <c r="Q231" s="26">
        <v>348135</v>
      </c>
      <c r="R231" s="21" t="str">
        <f t="shared" si="22"/>
        <v>4878</v>
      </c>
      <c r="S231" s="44" t="str">
        <f t="shared" si="23"/>
        <v>4878</v>
      </c>
      <c r="T231" s="20">
        <f t="shared" si="24"/>
        <v>0</v>
      </c>
      <c r="V231" s="46" t="s">
        <v>1035</v>
      </c>
      <c r="W231" s="26">
        <v>122630</v>
      </c>
      <c r="X231" s="21" t="str">
        <f t="shared" si="25"/>
        <v>4905</v>
      </c>
      <c r="Y231" s="44" t="str">
        <f t="shared" si="26"/>
        <v>4905</v>
      </c>
      <c r="Z231" s="45">
        <f t="shared" si="27"/>
        <v>0</v>
      </c>
    </row>
    <row r="232" spans="1:26" s="26" customFormat="1" ht="12.75" x14ac:dyDescent="0.2">
      <c r="A232" s="20" t="str">
        <f>Data!B227</f>
        <v>4890</v>
      </c>
      <c r="B232" s="21" t="str">
        <f>INDEX(Data[],MATCH($A232,Data[Dist],0),MATCH(B$6,Data[#Headers],0))</f>
        <v>Okoboji</v>
      </c>
      <c r="C232" s="22">
        <f>INDEX(Data[],MATCH($A232,Data[Dist],0),MATCH(C$6,Data[#Headers],0))</f>
        <v>20353</v>
      </c>
      <c r="D232" s="164">
        <f>INDEX(Data[],MATCH($A232,Data[Dist],0),MATCH(D$6,Data[#Headers],0))</f>
        <v>16434</v>
      </c>
      <c r="E232" s="164">
        <f>INDEX(Data[],MATCH($A232,Data[Dist],0),MATCH(E$6,Data[#Headers],0))</f>
        <v>16435</v>
      </c>
      <c r="F232" s="164">
        <f>INDEX(Data[],MATCH($A232,Data[Dist],0),MATCH(F$6,Data[#Headers],0))</f>
        <v>16433</v>
      </c>
      <c r="G232" s="22">
        <f>INDEX(Data[],MATCH($A232,Data[Dist],0),MATCH(G$6,Data[#Headers],0))</f>
        <v>180018</v>
      </c>
      <c r="H232" s="22">
        <f>INDEX(Data[],MATCH($A232,Data[Dist],0),MATCH(H$6,Data[#Headers],0))-G232</f>
        <v>0</v>
      </c>
      <c r="I232" s="25"/>
      <c r="J232" s="22">
        <f>INDEX(Notes!$I$2:$N$11,MATCH(Notes!$B$2,Notes!$I$2:$I$11,0),4)*$C232</f>
        <v>81412</v>
      </c>
      <c r="K232" s="22">
        <f>INDEX(Notes!$I$2:$N$11,MATCH(Notes!$B$2,Notes!$I$2:$I$11,0),5)*$D232</f>
        <v>32868</v>
      </c>
      <c r="L232" s="22">
        <f>INDEX(Notes!$I$2:$N$11,MATCH(Notes!$B$2,Notes!$I$2:$I$11,0),6)*$E232</f>
        <v>49305</v>
      </c>
      <c r="M232" s="22">
        <f>IF(Notes!$B$2="June",'Payment Total'!$F232,0)</f>
        <v>16433</v>
      </c>
      <c r="N232" s="22">
        <f t="shared" si="21"/>
        <v>0</v>
      </c>
      <c r="P232" s="26">
        <v>48900000</v>
      </c>
      <c r="Q232" s="26">
        <v>16433</v>
      </c>
      <c r="R232" s="21" t="str">
        <f t="shared" si="22"/>
        <v>4890</v>
      </c>
      <c r="S232" s="44" t="str">
        <f t="shared" si="23"/>
        <v>4890</v>
      </c>
      <c r="T232" s="20">
        <f t="shared" si="24"/>
        <v>0</v>
      </c>
      <c r="V232" s="46" t="s">
        <v>1036</v>
      </c>
      <c r="W232" s="26">
        <v>86241</v>
      </c>
      <c r="X232" s="21" t="str">
        <f t="shared" si="25"/>
        <v>4978</v>
      </c>
      <c r="Y232" s="44" t="str">
        <f t="shared" si="26"/>
        <v>4978</v>
      </c>
      <c r="Z232" s="45">
        <f t="shared" si="27"/>
        <v>0</v>
      </c>
    </row>
    <row r="233" spans="1:26" s="26" customFormat="1" ht="12.75" x14ac:dyDescent="0.2">
      <c r="A233" s="20" t="str">
        <f>Data!B228</f>
        <v>4905</v>
      </c>
      <c r="B233" s="21" t="str">
        <f>INDEX(Data[],MATCH($A233,Data[Dist],0),MATCH(B$6,Data[#Headers],0))</f>
        <v>Olin</v>
      </c>
      <c r="C233" s="22">
        <f>INDEX(Data[],MATCH($A233,Data[Dist],0),MATCH(C$6,Data[#Headers],0))</f>
        <v>123489</v>
      </c>
      <c r="D233" s="164">
        <f>INDEX(Data[],MATCH($A233,Data[Dist],0),MATCH(D$6,Data[#Headers],0))</f>
        <v>122632</v>
      </c>
      <c r="E233" s="164">
        <f>INDEX(Data[],MATCH($A233,Data[Dist],0),MATCH(E$6,Data[#Headers],0))</f>
        <v>122632</v>
      </c>
      <c r="F233" s="164">
        <f>INDEX(Data[],MATCH($A233,Data[Dist],0),MATCH(F$6,Data[#Headers],0))</f>
        <v>122630</v>
      </c>
      <c r="G233" s="22">
        <f>INDEX(Data[],MATCH($A233,Data[Dist],0),MATCH(G$6,Data[#Headers],0))</f>
        <v>1229746</v>
      </c>
      <c r="H233" s="22">
        <f>INDEX(Data[],MATCH($A233,Data[Dist],0),MATCH(H$6,Data[#Headers],0))-G233</f>
        <v>0</v>
      </c>
      <c r="I233" s="25"/>
      <c r="J233" s="22">
        <f>INDEX(Notes!$I$2:$N$11,MATCH(Notes!$B$2,Notes!$I$2:$I$11,0),4)*$C233</f>
        <v>493956</v>
      </c>
      <c r="K233" s="22">
        <f>INDEX(Notes!$I$2:$N$11,MATCH(Notes!$B$2,Notes!$I$2:$I$11,0),5)*$D233</f>
        <v>245264</v>
      </c>
      <c r="L233" s="22">
        <f>INDEX(Notes!$I$2:$N$11,MATCH(Notes!$B$2,Notes!$I$2:$I$11,0),6)*$E233</f>
        <v>367896</v>
      </c>
      <c r="M233" s="22">
        <f>IF(Notes!$B$2="June",'Payment Total'!$F233,0)</f>
        <v>122630</v>
      </c>
      <c r="N233" s="22">
        <f t="shared" si="21"/>
        <v>0</v>
      </c>
      <c r="P233" s="26">
        <v>49050000</v>
      </c>
      <c r="Q233" s="26">
        <v>122630</v>
      </c>
      <c r="R233" s="21" t="str">
        <f t="shared" si="22"/>
        <v>4905</v>
      </c>
      <c r="S233" s="44" t="str">
        <f t="shared" si="23"/>
        <v>4905</v>
      </c>
      <c r="T233" s="20">
        <f t="shared" si="24"/>
        <v>0</v>
      </c>
      <c r="V233" s="46" t="s">
        <v>1037</v>
      </c>
      <c r="W233" s="26">
        <v>515281</v>
      </c>
      <c r="X233" s="21" t="str">
        <f t="shared" si="25"/>
        <v>4995</v>
      </c>
      <c r="Y233" s="44" t="str">
        <f t="shared" si="26"/>
        <v>4995</v>
      </c>
      <c r="Z233" s="45">
        <f t="shared" si="27"/>
        <v>0</v>
      </c>
    </row>
    <row r="234" spans="1:26" s="26" customFormat="1" ht="12.75" x14ac:dyDescent="0.2">
      <c r="A234" s="20" t="str">
        <f>Data!B229</f>
        <v>4978</v>
      </c>
      <c r="B234" s="21" t="str">
        <f>INDEX(Data[],MATCH($A234,Data[Dist],0),MATCH(B$6,Data[#Headers],0))</f>
        <v>Orient-Macksburg</v>
      </c>
      <c r="C234" s="22">
        <f>INDEX(Data[],MATCH($A234,Data[Dist],0),MATCH(C$6,Data[#Headers],0))</f>
        <v>87038</v>
      </c>
      <c r="D234" s="164">
        <f>INDEX(Data[],MATCH($A234,Data[Dist],0),MATCH(D$6,Data[#Headers],0))</f>
        <v>86242</v>
      </c>
      <c r="E234" s="164">
        <f>INDEX(Data[],MATCH($A234,Data[Dist],0),MATCH(E$6,Data[#Headers],0))</f>
        <v>86243</v>
      </c>
      <c r="F234" s="164">
        <f>INDEX(Data[],MATCH($A234,Data[Dist],0),MATCH(F$6,Data[#Headers],0))</f>
        <v>86241</v>
      </c>
      <c r="G234" s="22">
        <f>INDEX(Data[],MATCH($A234,Data[Dist],0),MATCH(G$6,Data[#Headers],0))</f>
        <v>865606</v>
      </c>
      <c r="H234" s="22">
        <f>INDEX(Data[],MATCH($A234,Data[Dist],0),MATCH(H$6,Data[#Headers],0))-G234</f>
        <v>0</v>
      </c>
      <c r="I234" s="25"/>
      <c r="J234" s="22">
        <f>INDEX(Notes!$I$2:$N$11,MATCH(Notes!$B$2,Notes!$I$2:$I$11,0),4)*$C234</f>
        <v>348152</v>
      </c>
      <c r="K234" s="22">
        <f>INDEX(Notes!$I$2:$N$11,MATCH(Notes!$B$2,Notes!$I$2:$I$11,0),5)*$D234</f>
        <v>172484</v>
      </c>
      <c r="L234" s="22">
        <f>INDEX(Notes!$I$2:$N$11,MATCH(Notes!$B$2,Notes!$I$2:$I$11,0),6)*$E234</f>
        <v>258729</v>
      </c>
      <c r="M234" s="22">
        <f>IF(Notes!$B$2="June",'Payment Total'!$F234,0)</f>
        <v>86241</v>
      </c>
      <c r="N234" s="22">
        <f t="shared" si="21"/>
        <v>0</v>
      </c>
      <c r="P234" s="26">
        <v>49780000</v>
      </c>
      <c r="Q234" s="26">
        <v>86241</v>
      </c>
      <c r="R234" s="21" t="str">
        <f t="shared" si="22"/>
        <v>4978</v>
      </c>
      <c r="S234" s="44" t="str">
        <f t="shared" si="23"/>
        <v>4978</v>
      </c>
      <c r="T234" s="20">
        <f t="shared" si="24"/>
        <v>0</v>
      </c>
      <c r="V234" s="46" t="s">
        <v>1038</v>
      </c>
      <c r="W234" s="26">
        <v>1529927</v>
      </c>
      <c r="X234" s="21" t="str">
        <f t="shared" si="25"/>
        <v>5013</v>
      </c>
      <c r="Y234" s="44" t="str">
        <f t="shared" si="26"/>
        <v>5013</v>
      </c>
      <c r="Z234" s="45">
        <f t="shared" si="27"/>
        <v>0</v>
      </c>
    </row>
    <row r="235" spans="1:26" s="26" customFormat="1" ht="12.75" x14ac:dyDescent="0.2">
      <c r="A235" s="20" t="str">
        <f>Data!B230</f>
        <v>4995</v>
      </c>
      <c r="B235" s="21" t="str">
        <f>INDEX(Data[],MATCH($A235,Data[Dist],0),MATCH(B$6,Data[#Headers],0))</f>
        <v>Osage</v>
      </c>
      <c r="C235" s="22">
        <f>INDEX(Data[],MATCH($A235,Data[Dist],0),MATCH(C$6,Data[#Headers],0))</f>
        <v>519026</v>
      </c>
      <c r="D235" s="164">
        <f>INDEX(Data[],MATCH($A235,Data[Dist],0),MATCH(D$6,Data[#Headers],0))</f>
        <v>515281</v>
      </c>
      <c r="E235" s="164">
        <f>INDEX(Data[],MATCH($A235,Data[Dist],0),MATCH(E$6,Data[#Headers],0))</f>
        <v>515281</v>
      </c>
      <c r="F235" s="164">
        <f>INDEX(Data[],MATCH($A235,Data[Dist],0),MATCH(F$6,Data[#Headers],0))</f>
        <v>515281</v>
      </c>
      <c r="G235" s="22">
        <f>INDEX(Data[],MATCH($A235,Data[Dist],0),MATCH(G$6,Data[#Headers],0))</f>
        <v>5167790</v>
      </c>
      <c r="H235" s="22">
        <f>INDEX(Data[],MATCH($A235,Data[Dist],0),MATCH(H$6,Data[#Headers],0))-G235</f>
        <v>0</v>
      </c>
      <c r="I235" s="25"/>
      <c r="J235" s="22">
        <f>INDEX(Notes!$I$2:$N$11,MATCH(Notes!$B$2,Notes!$I$2:$I$11,0),4)*$C235</f>
        <v>2076104</v>
      </c>
      <c r="K235" s="22">
        <f>INDEX(Notes!$I$2:$N$11,MATCH(Notes!$B$2,Notes!$I$2:$I$11,0),5)*$D235</f>
        <v>1030562</v>
      </c>
      <c r="L235" s="22">
        <f>INDEX(Notes!$I$2:$N$11,MATCH(Notes!$B$2,Notes!$I$2:$I$11,0),6)*$E235</f>
        <v>1545843</v>
      </c>
      <c r="M235" s="22">
        <f>IF(Notes!$B$2="June",'Payment Total'!$F235,0)</f>
        <v>515281</v>
      </c>
      <c r="N235" s="22">
        <f t="shared" si="21"/>
        <v>0</v>
      </c>
      <c r="P235" s="26">
        <v>49950000</v>
      </c>
      <c r="Q235" s="26">
        <v>515281</v>
      </c>
      <c r="R235" s="21" t="str">
        <f t="shared" si="22"/>
        <v>4995</v>
      </c>
      <c r="S235" s="44" t="str">
        <f t="shared" si="23"/>
        <v>4995</v>
      </c>
      <c r="T235" s="20">
        <f t="shared" si="24"/>
        <v>0</v>
      </c>
      <c r="V235" s="46" t="s">
        <v>1039</v>
      </c>
      <c r="W235" s="26">
        <v>3310869</v>
      </c>
      <c r="X235" s="21" t="str">
        <f t="shared" si="25"/>
        <v>5049</v>
      </c>
      <c r="Y235" s="44" t="str">
        <f t="shared" si="26"/>
        <v>5049</v>
      </c>
      <c r="Z235" s="45">
        <f t="shared" si="27"/>
        <v>0</v>
      </c>
    </row>
    <row r="236" spans="1:26" s="26" customFormat="1" ht="12.75" x14ac:dyDescent="0.2">
      <c r="A236" s="20" t="str">
        <f>Data!B231</f>
        <v>5013</v>
      </c>
      <c r="B236" s="21" t="str">
        <f>INDEX(Data[],MATCH($A236,Data[Dist],0),MATCH(B$6,Data[#Headers],0))</f>
        <v>Oskaloosa</v>
      </c>
      <c r="C236" s="22">
        <f>INDEX(Data[],MATCH($A236,Data[Dist],0),MATCH(C$6,Data[#Headers],0))</f>
        <v>1539757</v>
      </c>
      <c r="D236" s="164">
        <f>INDEX(Data[],MATCH($A236,Data[Dist],0),MATCH(D$6,Data[#Headers],0))</f>
        <v>1529927</v>
      </c>
      <c r="E236" s="164">
        <f>INDEX(Data[],MATCH($A236,Data[Dist],0),MATCH(E$6,Data[#Headers],0))</f>
        <v>1529926</v>
      </c>
      <c r="F236" s="164">
        <f>INDEX(Data[],MATCH($A236,Data[Dist],0),MATCH(F$6,Data[#Headers],0))</f>
        <v>1529927</v>
      </c>
      <c r="G236" s="22">
        <f>INDEX(Data[],MATCH($A236,Data[Dist],0),MATCH(G$6,Data[#Headers],0))</f>
        <v>15338587</v>
      </c>
      <c r="H236" s="22">
        <f>INDEX(Data[],MATCH($A236,Data[Dist],0),MATCH(H$6,Data[#Headers],0))-G236</f>
        <v>0</v>
      </c>
      <c r="I236" s="25"/>
      <c r="J236" s="22">
        <f>INDEX(Notes!$I$2:$N$11,MATCH(Notes!$B$2,Notes!$I$2:$I$11,0),4)*$C236</f>
        <v>6159028</v>
      </c>
      <c r="K236" s="22">
        <f>INDEX(Notes!$I$2:$N$11,MATCH(Notes!$B$2,Notes!$I$2:$I$11,0),5)*$D236</f>
        <v>3059854</v>
      </c>
      <c r="L236" s="22">
        <f>INDEX(Notes!$I$2:$N$11,MATCH(Notes!$B$2,Notes!$I$2:$I$11,0),6)*$E236</f>
        <v>4589778</v>
      </c>
      <c r="M236" s="22">
        <f>IF(Notes!$B$2="June",'Payment Total'!$F236,0)</f>
        <v>1529927</v>
      </c>
      <c r="N236" s="22">
        <f t="shared" si="21"/>
        <v>0</v>
      </c>
      <c r="P236" s="26">
        <v>50130000</v>
      </c>
      <c r="Q236" s="26">
        <v>1529927</v>
      </c>
      <c r="R236" s="21" t="str">
        <f t="shared" si="22"/>
        <v>5013</v>
      </c>
      <c r="S236" s="44" t="str">
        <f t="shared" si="23"/>
        <v>5013</v>
      </c>
      <c r="T236" s="20">
        <f t="shared" si="24"/>
        <v>0</v>
      </c>
      <c r="V236" s="46" t="s">
        <v>1040</v>
      </c>
      <c r="W236" s="26">
        <v>345944</v>
      </c>
      <c r="X236" s="21" t="str">
        <f t="shared" si="25"/>
        <v>5121</v>
      </c>
      <c r="Y236" s="44" t="str">
        <f t="shared" si="26"/>
        <v>5121</v>
      </c>
      <c r="Z236" s="45">
        <f t="shared" si="27"/>
        <v>0</v>
      </c>
    </row>
    <row r="237" spans="1:26" s="26" customFormat="1" ht="12.75" x14ac:dyDescent="0.2">
      <c r="A237" s="20" t="str">
        <f>Data!B232</f>
        <v>5049</v>
      </c>
      <c r="B237" s="21" t="str">
        <f>INDEX(Data[],MATCH($A237,Data[Dist],0),MATCH(B$6,Data[#Headers],0))</f>
        <v>Ottumwa</v>
      </c>
      <c r="C237" s="22">
        <f>INDEX(Data[],MATCH($A237,Data[Dist],0),MATCH(C$6,Data[#Headers],0))</f>
        <v>3330069</v>
      </c>
      <c r="D237" s="164">
        <f>INDEX(Data[],MATCH($A237,Data[Dist],0),MATCH(D$6,Data[#Headers],0))</f>
        <v>3310869</v>
      </c>
      <c r="E237" s="164">
        <f>INDEX(Data[],MATCH($A237,Data[Dist],0),MATCH(E$6,Data[#Headers],0))</f>
        <v>3310868</v>
      </c>
      <c r="F237" s="164">
        <f>INDEX(Data[],MATCH($A237,Data[Dist],0),MATCH(F$6,Data[#Headers],0))</f>
        <v>3310869</v>
      </c>
      <c r="G237" s="22">
        <f>INDEX(Data[],MATCH($A237,Data[Dist],0),MATCH(G$6,Data[#Headers],0))</f>
        <v>33185487</v>
      </c>
      <c r="H237" s="22">
        <f>INDEX(Data[],MATCH($A237,Data[Dist],0),MATCH(H$6,Data[#Headers],0))-G237</f>
        <v>0</v>
      </c>
      <c r="I237" s="25"/>
      <c r="J237" s="22">
        <f>INDEX(Notes!$I$2:$N$11,MATCH(Notes!$B$2,Notes!$I$2:$I$11,0),4)*$C237</f>
        <v>13320276</v>
      </c>
      <c r="K237" s="22">
        <f>INDEX(Notes!$I$2:$N$11,MATCH(Notes!$B$2,Notes!$I$2:$I$11,0),5)*$D237</f>
        <v>6621738</v>
      </c>
      <c r="L237" s="22">
        <f>INDEX(Notes!$I$2:$N$11,MATCH(Notes!$B$2,Notes!$I$2:$I$11,0),6)*$E237</f>
        <v>9932604</v>
      </c>
      <c r="M237" s="22">
        <f>IF(Notes!$B$2="June",'Payment Total'!$F237,0)</f>
        <v>3310869</v>
      </c>
      <c r="N237" s="22">
        <f t="shared" si="21"/>
        <v>0</v>
      </c>
      <c r="P237" s="26">
        <v>50490000</v>
      </c>
      <c r="Q237" s="26">
        <v>3310869</v>
      </c>
      <c r="R237" s="21" t="str">
        <f t="shared" si="22"/>
        <v>5049</v>
      </c>
      <c r="S237" s="44" t="str">
        <f t="shared" si="23"/>
        <v>5049</v>
      </c>
      <c r="T237" s="20">
        <f t="shared" si="24"/>
        <v>0</v>
      </c>
      <c r="V237" s="46" t="s">
        <v>1041</v>
      </c>
      <c r="W237" s="26">
        <v>116928</v>
      </c>
      <c r="X237" s="21" t="str">
        <f t="shared" si="25"/>
        <v>5139</v>
      </c>
      <c r="Y237" s="44" t="str">
        <f t="shared" si="26"/>
        <v>5139</v>
      </c>
      <c r="Z237" s="45">
        <f t="shared" si="27"/>
        <v>0</v>
      </c>
    </row>
    <row r="238" spans="1:26" s="26" customFormat="1" ht="12.75" x14ac:dyDescent="0.2">
      <c r="A238" s="20" t="str">
        <f>Data!B233</f>
        <v>5121</v>
      </c>
      <c r="B238" s="21" t="str">
        <f>INDEX(Data[],MATCH($A238,Data[Dist],0),MATCH(B$6,Data[#Headers],0))</f>
        <v>Panorama</v>
      </c>
      <c r="C238" s="22">
        <f>INDEX(Data[],MATCH($A238,Data[Dist],0),MATCH(C$6,Data[#Headers],0))</f>
        <v>348883</v>
      </c>
      <c r="D238" s="164">
        <f>INDEX(Data[],MATCH($A238,Data[Dist],0),MATCH(D$6,Data[#Headers],0))</f>
        <v>345944</v>
      </c>
      <c r="E238" s="164">
        <f>INDEX(Data[],MATCH($A238,Data[Dist],0),MATCH(E$6,Data[#Headers],0))</f>
        <v>345944</v>
      </c>
      <c r="F238" s="164">
        <f>INDEX(Data[],MATCH($A238,Data[Dist],0),MATCH(F$6,Data[#Headers],0))</f>
        <v>345944</v>
      </c>
      <c r="G238" s="22">
        <f>INDEX(Data[],MATCH($A238,Data[Dist],0),MATCH(G$6,Data[#Headers],0))</f>
        <v>3471196</v>
      </c>
      <c r="H238" s="22">
        <f>INDEX(Data[],MATCH($A238,Data[Dist],0),MATCH(H$6,Data[#Headers],0))-G238</f>
        <v>0</v>
      </c>
      <c r="I238" s="25"/>
      <c r="J238" s="22">
        <f>INDEX(Notes!$I$2:$N$11,MATCH(Notes!$B$2,Notes!$I$2:$I$11,0),4)*$C238</f>
        <v>1395532</v>
      </c>
      <c r="K238" s="22">
        <f>INDEX(Notes!$I$2:$N$11,MATCH(Notes!$B$2,Notes!$I$2:$I$11,0),5)*$D238</f>
        <v>691888</v>
      </c>
      <c r="L238" s="22">
        <f>INDEX(Notes!$I$2:$N$11,MATCH(Notes!$B$2,Notes!$I$2:$I$11,0),6)*$E238</f>
        <v>1037832</v>
      </c>
      <c r="M238" s="22">
        <f>IF(Notes!$B$2="June",'Payment Total'!$F238,0)</f>
        <v>345944</v>
      </c>
      <c r="N238" s="22">
        <f t="shared" si="21"/>
        <v>0</v>
      </c>
      <c r="P238" s="26">
        <v>51210000</v>
      </c>
      <c r="Q238" s="26">
        <v>345944</v>
      </c>
      <c r="R238" s="21" t="str">
        <f t="shared" si="22"/>
        <v>5121</v>
      </c>
      <c r="S238" s="44" t="str">
        <f t="shared" si="23"/>
        <v>5121</v>
      </c>
      <c r="T238" s="20">
        <f t="shared" si="24"/>
        <v>0</v>
      </c>
      <c r="V238" s="46" t="s">
        <v>1042</v>
      </c>
      <c r="W238" s="26">
        <v>644577</v>
      </c>
      <c r="X238" s="21" t="str">
        <f t="shared" si="25"/>
        <v>5160</v>
      </c>
      <c r="Y238" s="44" t="str">
        <f t="shared" si="26"/>
        <v>5319</v>
      </c>
      <c r="Z238" s="45">
        <f t="shared" si="27"/>
        <v>0</v>
      </c>
    </row>
    <row r="239" spans="1:26" s="26" customFormat="1" ht="12.75" x14ac:dyDescent="0.2">
      <c r="A239" s="20" t="str">
        <f>Data!B234</f>
        <v>5139</v>
      </c>
      <c r="B239" s="21" t="str">
        <f>INDEX(Data[],MATCH($A239,Data[Dist],0),MATCH(B$6,Data[#Headers],0))</f>
        <v>Paton-Churdan</v>
      </c>
      <c r="C239" s="22">
        <f>INDEX(Data[],MATCH($A239,Data[Dist],0),MATCH(C$6,Data[#Headers],0))</f>
        <v>117796</v>
      </c>
      <c r="D239" s="164">
        <f>INDEX(Data[],MATCH($A239,Data[Dist],0),MATCH(D$6,Data[#Headers],0))</f>
        <v>116928</v>
      </c>
      <c r="E239" s="164">
        <f>INDEX(Data[],MATCH($A239,Data[Dist],0),MATCH(E$6,Data[#Headers],0))</f>
        <v>116928</v>
      </c>
      <c r="F239" s="164">
        <f>INDEX(Data[],MATCH($A239,Data[Dist],0),MATCH(F$6,Data[#Headers],0))</f>
        <v>116928</v>
      </c>
      <c r="G239" s="22">
        <f>INDEX(Data[],MATCH($A239,Data[Dist],0),MATCH(G$6,Data[#Headers],0))</f>
        <v>1172752</v>
      </c>
      <c r="H239" s="22">
        <f>INDEX(Data[],MATCH($A239,Data[Dist],0),MATCH(H$6,Data[#Headers],0))-G239</f>
        <v>0</v>
      </c>
      <c r="I239" s="25"/>
      <c r="J239" s="22">
        <f>INDEX(Notes!$I$2:$N$11,MATCH(Notes!$B$2,Notes!$I$2:$I$11,0),4)*$C239</f>
        <v>471184</v>
      </c>
      <c r="K239" s="22">
        <f>INDEX(Notes!$I$2:$N$11,MATCH(Notes!$B$2,Notes!$I$2:$I$11,0),5)*$D239</f>
        <v>233856</v>
      </c>
      <c r="L239" s="22">
        <f>INDEX(Notes!$I$2:$N$11,MATCH(Notes!$B$2,Notes!$I$2:$I$11,0),6)*$E239</f>
        <v>350784</v>
      </c>
      <c r="M239" s="22">
        <f>IF(Notes!$B$2="June",'Payment Total'!$F239,0)</f>
        <v>116928</v>
      </c>
      <c r="N239" s="22">
        <f t="shared" si="21"/>
        <v>0</v>
      </c>
      <c r="P239" s="26">
        <v>51390000</v>
      </c>
      <c r="Q239" s="26">
        <v>116928</v>
      </c>
      <c r="R239" s="21" t="str">
        <f t="shared" si="22"/>
        <v>5139</v>
      </c>
      <c r="S239" s="44" t="str">
        <f t="shared" si="23"/>
        <v>5139</v>
      </c>
      <c r="T239" s="20">
        <f t="shared" si="24"/>
        <v>0</v>
      </c>
      <c r="V239" s="46" t="s">
        <v>1043</v>
      </c>
      <c r="W239" s="26">
        <v>333514</v>
      </c>
      <c r="X239" s="21" t="str">
        <f t="shared" si="25"/>
        <v>5163</v>
      </c>
      <c r="Y239" s="44" t="str">
        <f t="shared" si="26"/>
        <v>5163</v>
      </c>
      <c r="Z239" s="45">
        <f t="shared" si="27"/>
        <v>0</v>
      </c>
    </row>
    <row r="240" spans="1:26" s="26" customFormat="1" ht="12.75" x14ac:dyDescent="0.2">
      <c r="A240" s="20" t="str">
        <f>Data!B235</f>
        <v>5157</v>
      </c>
      <c r="B240" s="21" t="str">
        <f>INDEX(Data[],MATCH($A240,Data[Dist],0),MATCH(B$6,Data[#Headers],0))</f>
        <v>South O'Brien</v>
      </c>
      <c r="C240" s="22">
        <f>INDEX(Data[],MATCH($A240,Data[Dist],0),MATCH(C$6,Data[#Headers],0))</f>
        <v>256998</v>
      </c>
      <c r="D240" s="164">
        <f>INDEX(Data[],MATCH($A240,Data[Dist],0),MATCH(D$6,Data[#Headers],0))</f>
        <v>254542</v>
      </c>
      <c r="E240" s="164">
        <f>INDEX(Data[],MATCH($A240,Data[Dist],0),MATCH(E$6,Data[#Headers],0))</f>
        <v>254542</v>
      </c>
      <c r="F240" s="164">
        <f>INDEX(Data[],MATCH($A240,Data[Dist],0),MATCH(F$6,Data[#Headers],0))</f>
        <v>254540</v>
      </c>
      <c r="G240" s="22">
        <f>INDEX(Data[],MATCH($A240,Data[Dist],0),MATCH(G$6,Data[#Headers],0))</f>
        <v>2555242</v>
      </c>
      <c r="H240" s="22">
        <f>INDEX(Data[],MATCH($A240,Data[Dist],0),MATCH(H$6,Data[#Headers],0))-G240</f>
        <v>0</v>
      </c>
      <c r="I240" s="25"/>
      <c r="J240" s="22">
        <f>INDEX(Notes!$I$2:$N$11,MATCH(Notes!$B$2,Notes!$I$2:$I$11,0),4)*$C240</f>
        <v>1027992</v>
      </c>
      <c r="K240" s="22">
        <f>INDEX(Notes!$I$2:$N$11,MATCH(Notes!$B$2,Notes!$I$2:$I$11,0),5)*$D240</f>
        <v>509084</v>
      </c>
      <c r="L240" s="22">
        <f>INDEX(Notes!$I$2:$N$11,MATCH(Notes!$B$2,Notes!$I$2:$I$11,0),6)*$E240</f>
        <v>763626</v>
      </c>
      <c r="M240" s="22">
        <f>IF(Notes!$B$2="June",'Payment Total'!$F240,0)</f>
        <v>254540</v>
      </c>
      <c r="N240" s="22">
        <f t="shared" si="21"/>
        <v>0</v>
      </c>
      <c r="P240" s="26">
        <v>60990000</v>
      </c>
      <c r="Q240" s="26">
        <v>254540</v>
      </c>
      <c r="R240" s="21" t="str">
        <f t="shared" si="22"/>
        <v>6099</v>
      </c>
      <c r="S240" s="44" t="str">
        <f t="shared" si="23"/>
        <v>5157</v>
      </c>
      <c r="T240" s="20">
        <f t="shared" si="24"/>
        <v>0</v>
      </c>
      <c r="V240" s="46" t="s">
        <v>1044</v>
      </c>
      <c r="W240" s="26">
        <v>1202869</v>
      </c>
      <c r="X240" s="21" t="str">
        <f t="shared" si="25"/>
        <v>5166</v>
      </c>
      <c r="Y240" s="44" t="str">
        <f t="shared" si="26"/>
        <v>5166</v>
      </c>
      <c r="Z240" s="45">
        <f t="shared" si="27"/>
        <v>0</v>
      </c>
    </row>
    <row r="241" spans="1:26" s="26" customFormat="1" ht="12.75" x14ac:dyDescent="0.2">
      <c r="A241" s="20" t="str">
        <f>Data!B236</f>
        <v>5163</v>
      </c>
      <c r="B241" s="21" t="str">
        <f>INDEX(Data[],MATCH($A241,Data[Dist],0),MATCH(B$6,Data[#Headers],0))</f>
        <v>Pekin</v>
      </c>
      <c r="C241" s="22">
        <f>INDEX(Data[],MATCH($A241,Data[Dist],0),MATCH(C$6,Data[#Headers],0))</f>
        <v>336014</v>
      </c>
      <c r="D241" s="164">
        <f>INDEX(Data[],MATCH($A241,Data[Dist],0),MATCH(D$6,Data[#Headers],0))</f>
        <v>333516</v>
      </c>
      <c r="E241" s="164">
        <f>INDEX(Data[],MATCH($A241,Data[Dist],0),MATCH(E$6,Data[#Headers],0))</f>
        <v>333516</v>
      </c>
      <c r="F241" s="164">
        <f>INDEX(Data[],MATCH($A241,Data[Dist],0),MATCH(F$6,Data[#Headers],0))</f>
        <v>333514</v>
      </c>
      <c r="G241" s="22">
        <f>INDEX(Data[],MATCH($A241,Data[Dist],0),MATCH(G$6,Data[#Headers],0))</f>
        <v>3345150</v>
      </c>
      <c r="H241" s="22">
        <f>INDEX(Data[],MATCH($A241,Data[Dist],0),MATCH(H$6,Data[#Headers],0))-G241</f>
        <v>0</v>
      </c>
      <c r="I241" s="25"/>
      <c r="J241" s="22">
        <f>INDEX(Notes!$I$2:$N$11,MATCH(Notes!$B$2,Notes!$I$2:$I$11,0),4)*$C241</f>
        <v>1344056</v>
      </c>
      <c r="K241" s="22">
        <f>INDEX(Notes!$I$2:$N$11,MATCH(Notes!$B$2,Notes!$I$2:$I$11,0),5)*$D241</f>
        <v>667032</v>
      </c>
      <c r="L241" s="22">
        <f>INDEX(Notes!$I$2:$N$11,MATCH(Notes!$B$2,Notes!$I$2:$I$11,0),6)*$E241</f>
        <v>1000548</v>
      </c>
      <c r="M241" s="22">
        <f>IF(Notes!$B$2="June",'Payment Total'!$F241,0)</f>
        <v>333514</v>
      </c>
      <c r="N241" s="22">
        <f t="shared" si="21"/>
        <v>0</v>
      </c>
      <c r="P241" s="26">
        <v>51630000</v>
      </c>
      <c r="Q241" s="26">
        <v>333514</v>
      </c>
      <c r="R241" s="21" t="str">
        <f t="shared" si="22"/>
        <v>5163</v>
      </c>
      <c r="S241" s="44" t="str">
        <f t="shared" si="23"/>
        <v>5163</v>
      </c>
      <c r="T241" s="20">
        <f t="shared" si="24"/>
        <v>0</v>
      </c>
      <c r="V241" s="46" t="s">
        <v>1045</v>
      </c>
      <c r="W241" s="26">
        <v>1280017</v>
      </c>
      <c r="X241" s="21" t="str">
        <f t="shared" si="25"/>
        <v>5184</v>
      </c>
      <c r="Y241" s="44" t="str">
        <f t="shared" si="26"/>
        <v>5184</v>
      </c>
      <c r="Z241" s="45">
        <f t="shared" si="27"/>
        <v>0</v>
      </c>
    </row>
    <row r="242" spans="1:26" s="26" customFormat="1" ht="12.75" x14ac:dyDescent="0.2">
      <c r="A242" s="20" t="str">
        <f>Data!B237</f>
        <v>5166</v>
      </c>
      <c r="B242" s="21" t="str">
        <f>INDEX(Data[],MATCH($A242,Data[Dist],0),MATCH(B$6,Data[#Headers],0))</f>
        <v>Pella</v>
      </c>
      <c r="C242" s="22">
        <f>INDEX(Data[],MATCH($A242,Data[Dist],0),MATCH(C$6,Data[#Headers],0))</f>
        <v>1211783</v>
      </c>
      <c r="D242" s="164">
        <f>INDEX(Data[],MATCH($A242,Data[Dist],0),MATCH(D$6,Data[#Headers],0))</f>
        <v>1202869</v>
      </c>
      <c r="E242" s="164">
        <f>INDEX(Data[],MATCH($A242,Data[Dist],0),MATCH(E$6,Data[#Headers],0))</f>
        <v>1202868</v>
      </c>
      <c r="F242" s="164">
        <f>INDEX(Data[],MATCH($A242,Data[Dist],0),MATCH(F$6,Data[#Headers],0))</f>
        <v>1202869</v>
      </c>
      <c r="G242" s="22">
        <f>INDEX(Data[],MATCH($A242,Data[Dist],0),MATCH(G$6,Data[#Headers],0))</f>
        <v>12064343</v>
      </c>
      <c r="H242" s="22">
        <f>INDEX(Data[],MATCH($A242,Data[Dist],0),MATCH(H$6,Data[#Headers],0))-G242</f>
        <v>0</v>
      </c>
      <c r="I242" s="25"/>
      <c r="J242" s="22">
        <f>INDEX(Notes!$I$2:$N$11,MATCH(Notes!$B$2,Notes!$I$2:$I$11,0),4)*$C242</f>
        <v>4847132</v>
      </c>
      <c r="K242" s="22">
        <f>INDEX(Notes!$I$2:$N$11,MATCH(Notes!$B$2,Notes!$I$2:$I$11,0),5)*$D242</f>
        <v>2405738</v>
      </c>
      <c r="L242" s="22">
        <f>INDEX(Notes!$I$2:$N$11,MATCH(Notes!$B$2,Notes!$I$2:$I$11,0),6)*$E242</f>
        <v>3608604</v>
      </c>
      <c r="M242" s="22">
        <f>IF(Notes!$B$2="June",'Payment Total'!$F242,0)</f>
        <v>1202869</v>
      </c>
      <c r="N242" s="22">
        <f t="shared" si="21"/>
        <v>0</v>
      </c>
      <c r="P242" s="26">
        <v>51660000</v>
      </c>
      <c r="Q242" s="26">
        <v>1202869</v>
      </c>
      <c r="R242" s="21" t="str">
        <f t="shared" si="22"/>
        <v>5166</v>
      </c>
      <c r="S242" s="44" t="str">
        <f t="shared" si="23"/>
        <v>5166</v>
      </c>
      <c r="T242" s="20">
        <f t="shared" si="24"/>
        <v>0</v>
      </c>
      <c r="V242" s="46" t="s">
        <v>1046</v>
      </c>
      <c r="W242" s="26">
        <v>2713939</v>
      </c>
      <c r="X242" s="21" t="str">
        <f t="shared" si="25"/>
        <v>5250</v>
      </c>
      <c r="Y242" s="44" t="str">
        <f t="shared" si="26"/>
        <v>5250</v>
      </c>
      <c r="Z242" s="45">
        <f t="shared" si="27"/>
        <v>0</v>
      </c>
    </row>
    <row r="243" spans="1:26" s="26" customFormat="1" ht="12.75" x14ac:dyDescent="0.2">
      <c r="A243" s="20" t="str">
        <f>Data!B238</f>
        <v>5184</v>
      </c>
      <c r="B243" s="21" t="str">
        <f>INDEX(Data[],MATCH($A243,Data[Dist],0),MATCH(B$6,Data[#Headers],0))</f>
        <v>Perry</v>
      </c>
      <c r="C243" s="22">
        <f>INDEX(Data[],MATCH($A243,Data[Dist],0),MATCH(C$6,Data[#Headers],0))</f>
        <v>1287386</v>
      </c>
      <c r="D243" s="164">
        <f>INDEX(Data[],MATCH($A243,Data[Dist],0),MATCH(D$6,Data[#Headers],0))</f>
        <v>1280018</v>
      </c>
      <c r="E243" s="164">
        <f>INDEX(Data[],MATCH($A243,Data[Dist],0),MATCH(E$6,Data[#Headers],0))</f>
        <v>1280018</v>
      </c>
      <c r="F243" s="164">
        <f>INDEX(Data[],MATCH($A243,Data[Dist],0),MATCH(F$6,Data[#Headers],0))</f>
        <v>1280017</v>
      </c>
      <c r="G243" s="22">
        <f>INDEX(Data[],MATCH($A243,Data[Dist],0),MATCH(G$6,Data[#Headers],0))</f>
        <v>12829651</v>
      </c>
      <c r="H243" s="22">
        <f>INDEX(Data[],MATCH($A243,Data[Dist],0),MATCH(H$6,Data[#Headers],0))-G243</f>
        <v>0</v>
      </c>
      <c r="I243" s="25"/>
      <c r="J243" s="22">
        <f>INDEX(Notes!$I$2:$N$11,MATCH(Notes!$B$2,Notes!$I$2:$I$11,0),4)*$C243</f>
        <v>5149544</v>
      </c>
      <c r="K243" s="22">
        <f>INDEX(Notes!$I$2:$N$11,MATCH(Notes!$B$2,Notes!$I$2:$I$11,0),5)*$D243</f>
        <v>2560036</v>
      </c>
      <c r="L243" s="22">
        <f>INDEX(Notes!$I$2:$N$11,MATCH(Notes!$B$2,Notes!$I$2:$I$11,0),6)*$E243</f>
        <v>3840054</v>
      </c>
      <c r="M243" s="22">
        <f>IF(Notes!$B$2="June",'Payment Total'!$F243,0)</f>
        <v>1280017</v>
      </c>
      <c r="N243" s="22">
        <f t="shared" si="21"/>
        <v>0</v>
      </c>
      <c r="P243" s="26">
        <v>51840000</v>
      </c>
      <c r="Q243" s="26">
        <v>1280017</v>
      </c>
      <c r="R243" s="21" t="str">
        <f t="shared" si="22"/>
        <v>5184</v>
      </c>
      <c r="S243" s="44" t="str">
        <f t="shared" si="23"/>
        <v>5184</v>
      </c>
      <c r="T243" s="20">
        <f t="shared" si="24"/>
        <v>0</v>
      </c>
      <c r="V243" s="46" t="s">
        <v>1047</v>
      </c>
      <c r="W243" s="26">
        <v>459690</v>
      </c>
      <c r="X243" s="21" t="str">
        <f t="shared" si="25"/>
        <v>5256</v>
      </c>
      <c r="Y243" s="44" t="str">
        <f t="shared" si="26"/>
        <v>5256</v>
      </c>
      <c r="Z243" s="45">
        <f t="shared" si="27"/>
        <v>0</v>
      </c>
    </row>
    <row r="244" spans="1:26" s="26" customFormat="1" ht="12.75" x14ac:dyDescent="0.2">
      <c r="A244" s="20" t="str">
        <f>Data!B239</f>
        <v>5250</v>
      </c>
      <c r="B244" s="21" t="str">
        <f>INDEX(Data[],MATCH($A244,Data[Dist],0),MATCH(B$6,Data[#Headers],0))</f>
        <v>Pleasant Valley</v>
      </c>
      <c r="C244" s="22">
        <f>INDEX(Data[],MATCH($A244,Data[Dist],0),MATCH(C$6,Data[#Headers],0))</f>
        <v>2734434</v>
      </c>
      <c r="D244" s="164">
        <f>INDEX(Data[],MATCH($A244,Data[Dist],0),MATCH(D$6,Data[#Headers],0))</f>
        <v>2713941</v>
      </c>
      <c r="E244" s="164">
        <f>INDEX(Data[],MATCH($A244,Data[Dist],0),MATCH(E$6,Data[#Headers],0))</f>
        <v>2713941</v>
      </c>
      <c r="F244" s="164">
        <f>INDEX(Data[],MATCH($A244,Data[Dist],0),MATCH(F$6,Data[#Headers],0))</f>
        <v>2713939</v>
      </c>
      <c r="G244" s="22">
        <f>INDEX(Data[],MATCH($A244,Data[Dist],0),MATCH(G$6,Data[#Headers],0))</f>
        <v>27221380</v>
      </c>
      <c r="H244" s="22">
        <f>INDEX(Data[],MATCH($A244,Data[Dist],0),MATCH(H$6,Data[#Headers],0))-G244</f>
        <v>0</v>
      </c>
      <c r="I244" s="25"/>
      <c r="J244" s="22">
        <f>INDEX(Notes!$I$2:$N$11,MATCH(Notes!$B$2,Notes!$I$2:$I$11,0),4)*$C244</f>
        <v>10937736</v>
      </c>
      <c r="K244" s="22">
        <f>INDEX(Notes!$I$2:$N$11,MATCH(Notes!$B$2,Notes!$I$2:$I$11,0),5)*$D244</f>
        <v>5427882</v>
      </c>
      <c r="L244" s="22">
        <f>INDEX(Notes!$I$2:$N$11,MATCH(Notes!$B$2,Notes!$I$2:$I$11,0),6)*$E244</f>
        <v>8141823</v>
      </c>
      <c r="M244" s="22">
        <f>IF(Notes!$B$2="June",'Payment Total'!$F244,0)</f>
        <v>2713939</v>
      </c>
      <c r="N244" s="22">
        <f t="shared" si="21"/>
        <v>0</v>
      </c>
      <c r="P244" s="26">
        <v>52500000</v>
      </c>
      <c r="Q244" s="26">
        <v>2713939</v>
      </c>
      <c r="R244" s="21" t="str">
        <f t="shared" si="22"/>
        <v>5250</v>
      </c>
      <c r="S244" s="44" t="str">
        <f t="shared" si="23"/>
        <v>5250</v>
      </c>
      <c r="T244" s="20">
        <f t="shared" si="24"/>
        <v>0</v>
      </c>
      <c r="V244" s="46" t="s">
        <v>1048</v>
      </c>
      <c r="W244" s="26">
        <v>231202</v>
      </c>
      <c r="X244" s="21" t="str">
        <f t="shared" si="25"/>
        <v>5283</v>
      </c>
      <c r="Y244" s="44" t="str">
        <f t="shared" si="26"/>
        <v>5283</v>
      </c>
      <c r="Z244" s="45">
        <f t="shared" si="27"/>
        <v>0</v>
      </c>
    </row>
    <row r="245" spans="1:26" s="26" customFormat="1" ht="12.75" x14ac:dyDescent="0.2">
      <c r="A245" s="20" t="str">
        <f>Data!B240</f>
        <v>5256</v>
      </c>
      <c r="B245" s="21" t="str">
        <f>INDEX(Data[],MATCH($A245,Data[Dist],0),MATCH(B$6,Data[#Headers],0))</f>
        <v>Pleasantville</v>
      </c>
      <c r="C245" s="22">
        <f>INDEX(Data[],MATCH($A245,Data[Dist],0),MATCH(C$6,Data[#Headers],0))</f>
        <v>462595</v>
      </c>
      <c r="D245" s="164">
        <f>INDEX(Data[],MATCH($A245,Data[Dist],0),MATCH(D$6,Data[#Headers],0))</f>
        <v>459690</v>
      </c>
      <c r="E245" s="164">
        <f>INDEX(Data[],MATCH($A245,Data[Dist],0),MATCH(E$6,Data[#Headers],0))</f>
        <v>459690</v>
      </c>
      <c r="F245" s="164">
        <f>INDEX(Data[],MATCH($A245,Data[Dist],0),MATCH(F$6,Data[#Headers],0))</f>
        <v>459690</v>
      </c>
      <c r="G245" s="22">
        <f>INDEX(Data[],MATCH($A245,Data[Dist],0),MATCH(G$6,Data[#Headers],0))</f>
        <v>4608520</v>
      </c>
      <c r="H245" s="22">
        <f>INDEX(Data[],MATCH($A245,Data[Dist],0),MATCH(H$6,Data[#Headers],0))-G245</f>
        <v>0</v>
      </c>
      <c r="I245" s="25"/>
      <c r="J245" s="22">
        <f>INDEX(Notes!$I$2:$N$11,MATCH(Notes!$B$2,Notes!$I$2:$I$11,0),4)*$C245</f>
        <v>1850380</v>
      </c>
      <c r="K245" s="22">
        <f>INDEX(Notes!$I$2:$N$11,MATCH(Notes!$B$2,Notes!$I$2:$I$11,0),5)*$D245</f>
        <v>919380</v>
      </c>
      <c r="L245" s="22">
        <f>INDEX(Notes!$I$2:$N$11,MATCH(Notes!$B$2,Notes!$I$2:$I$11,0),6)*$E245</f>
        <v>1379070</v>
      </c>
      <c r="M245" s="22">
        <f>IF(Notes!$B$2="June",'Payment Total'!$F245,0)</f>
        <v>459690</v>
      </c>
      <c r="N245" s="22">
        <f t="shared" si="21"/>
        <v>0</v>
      </c>
      <c r="P245" s="26">
        <v>52560000</v>
      </c>
      <c r="Q245" s="26">
        <v>459690</v>
      </c>
      <c r="R245" s="21" t="str">
        <f t="shared" si="22"/>
        <v>5256</v>
      </c>
      <c r="S245" s="44" t="str">
        <f t="shared" si="23"/>
        <v>5256</v>
      </c>
      <c r="T245" s="20">
        <f t="shared" si="24"/>
        <v>0</v>
      </c>
      <c r="V245" s="46" t="s">
        <v>1049</v>
      </c>
      <c r="W245" s="26">
        <v>509505</v>
      </c>
      <c r="X245" s="21" t="str">
        <f t="shared" si="25"/>
        <v>5310</v>
      </c>
      <c r="Y245" s="44" t="str">
        <f t="shared" si="26"/>
        <v>5310</v>
      </c>
      <c r="Z245" s="45">
        <f t="shared" si="27"/>
        <v>0</v>
      </c>
    </row>
    <row r="246" spans="1:26" s="26" customFormat="1" ht="12.75" x14ac:dyDescent="0.2">
      <c r="A246" s="20" t="str">
        <f>Data!B241</f>
        <v>5283</v>
      </c>
      <c r="B246" s="21" t="str">
        <f>INDEX(Data[],MATCH($A246,Data[Dist],0),MATCH(B$6,Data[#Headers],0))</f>
        <v>Pocahontas Area</v>
      </c>
      <c r="C246" s="22">
        <f>INDEX(Data[],MATCH($A246,Data[Dist],0),MATCH(C$6,Data[#Headers],0))</f>
        <v>234043</v>
      </c>
      <c r="D246" s="164">
        <f>INDEX(Data[],MATCH($A246,Data[Dist],0),MATCH(D$6,Data[#Headers],0))</f>
        <v>231204</v>
      </c>
      <c r="E246" s="164">
        <f>INDEX(Data[],MATCH($A246,Data[Dist],0),MATCH(E$6,Data[#Headers],0))</f>
        <v>231204</v>
      </c>
      <c r="F246" s="164">
        <f>INDEX(Data[],MATCH($A246,Data[Dist],0),MATCH(F$6,Data[#Headers],0))</f>
        <v>231202</v>
      </c>
      <c r="G246" s="22">
        <f>INDEX(Data[],MATCH($A246,Data[Dist],0),MATCH(G$6,Data[#Headers],0))</f>
        <v>2323394</v>
      </c>
      <c r="H246" s="22">
        <f>INDEX(Data[],MATCH($A246,Data[Dist],0),MATCH(H$6,Data[#Headers],0))-G246</f>
        <v>0</v>
      </c>
      <c r="I246" s="25"/>
      <c r="J246" s="22">
        <f>INDEX(Notes!$I$2:$N$11,MATCH(Notes!$B$2,Notes!$I$2:$I$11,0),4)*$C246</f>
        <v>936172</v>
      </c>
      <c r="K246" s="22">
        <f>INDEX(Notes!$I$2:$N$11,MATCH(Notes!$B$2,Notes!$I$2:$I$11,0),5)*$D246</f>
        <v>462408</v>
      </c>
      <c r="L246" s="22">
        <f>INDEX(Notes!$I$2:$N$11,MATCH(Notes!$B$2,Notes!$I$2:$I$11,0),6)*$E246</f>
        <v>693612</v>
      </c>
      <c r="M246" s="22">
        <f>IF(Notes!$B$2="June",'Payment Total'!$F246,0)</f>
        <v>231202</v>
      </c>
      <c r="N246" s="22">
        <f t="shared" si="21"/>
        <v>0</v>
      </c>
      <c r="P246" s="26">
        <v>52830000</v>
      </c>
      <c r="Q246" s="26">
        <v>231202</v>
      </c>
      <c r="R246" s="21" t="str">
        <f t="shared" si="22"/>
        <v>5283</v>
      </c>
      <c r="S246" s="44" t="str">
        <f t="shared" si="23"/>
        <v>5283</v>
      </c>
      <c r="T246" s="20">
        <f t="shared" si="24"/>
        <v>0</v>
      </c>
      <c r="V246" s="46" t="s">
        <v>1050</v>
      </c>
      <c r="W246" s="26">
        <v>288066</v>
      </c>
      <c r="X246" s="21" t="str">
        <f t="shared" si="25"/>
        <v>5325</v>
      </c>
      <c r="Y246" s="44" t="str">
        <f t="shared" si="26"/>
        <v>5323</v>
      </c>
      <c r="Z246" s="45">
        <f t="shared" si="27"/>
        <v>0</v>
      </c>
    </row>
    <row r="247" spans="1:26" s="26" customFormat="1" ht="12.75" x14ac:dyDescent="0.2">
      <c r="A247" s="20" t="str">
        <f>Data!B242</f>
        <v>5310</v>
      </c>
      <c r="B247" s="21" t="str">
        <f>INDEX(Data[],MATCH($A247,Data[Dist],0),MATCH(B$6,Data[#Headers],0))</f>
        <v>Postville</v>
      </c>
      <c r="C247" s="22">
        <f>INDEX(Data[],MATCH($A247,Data[Dist],0),MATCH(C$6,Data[#Headers],0))</f>
        <v>512549</v>
      </c>
      <c r="D247" s="164">
        <f>INDEX(Data[],MATCH($A247,Data[Dist],0),MATCH(D$6,Data[#Headers],0))</f>
        <v>509507</v>
      </c>
      <c r="E247" s="164">
        <f>INDEX(Data[],MATCH($A247,Data[Dist],0),MATCH(E$6,Data[#Headers],0))</f>
        <v>509507</v>
      </c>
      <c r="F247" s="164">
        <f>INDEX(Data[],MATCH($A247,Data[Dist],0),MATCH(F$6,Data[#Headers],0))</f>
        <v>509505</v>
      </c>
      <c r="G247" s="22">
        <f>INDEX(Data[],MATCH($A247,Data[Dist],0),MATCH(G$6,Data[#Headers],0))</f>
        <v>5107236</v>
      </c>
      <c r="H247" s="22">
        <f>INDEX(Data[],MATCH($A247,Data[Dist],0),MATCH(H$6,Data[#Headers],0))-G247</f>
        <v>0</v>
      </c>
      <c r="I247" s="25"/>
      <c r="J247" s="22">
        <f>INDEX(Notes!$I$2:$N$11,MATCH(Notes!$B$2,Notes!$I$2:$I$11,0),4)*$C247</f>
        <v>2050196</v>
      </c>
      <c r="K247" s="22">
        <f>INDEX(Notes!$I$2:$N$11,MATCH(Notes!$B$2,Notes!$I$2:$I$11,0),5)*$D247</f>
        <v>1019014</v>
      </c>
      <c r="L247" s="22">
        <f>INDEX(Notes!$I$2:$N$11,MATCH(Notes!$B$2,Notes!$I$2:$I$11,0),6)*$E247</f>
        <v>1528521</v>
      </c>
      <c r="M247" s="22">
        <f>IF(Notes!$B$2="June",'Payment Total'!$F247,0)</f>
        <v>509505</v>
      </c>
      <c r="N247" s="22">
        <f t="shared" si="21"/>
        <v>0</v>
      </c>
      <c r="P247" s="26">
        <v>53100000</v>
      </c>
      <c r="Q247" s="26">
        <v>509505</v>
      </c>
      <c r="R247" s="21" t="str">
        <f t="shared" si="22"/>
        <v>5310</v>
      </c>
      <c r="S247" s="44" t="str">
        <f t="shared" si="23"/>
        <v>5310</v>
      </c>
      <c r="T247" s="20">
        <f t="shared" si="24"/>
        <v>0</v>
      </c>
      <c r="V247" s="46" t="s">
        <v>1051</v>
      </c>
      <c r="W247" s="26">
        <v>636681</v>
      </c>
      <c r="X247" s="21" t="str">
        <f t="shared" si="25"/>
        <v>5463</v>
      </c>
      <c r="Y247" s="44" t="str">
        <f t="shared" si="26"/>
        <v>5463</v>
      </c>
      <c r="Z247" s="45">
        <f t="shared" si="27"/>
        <v>0</v>
      </c>
    </row>
    <row r="248" spans="1:26" s="26" customFormat="1" ht="12.75" x14ac:dyDescent="0.2">
      <c r="A248" s="20" t="str">
        <f>Data!B243</f>
        <v>5319</v>
      </c>
      <c r="B248" s="21" t="str">
        <f>INDEX(Data[],MATCH($A248,Data[Dist],0),MATCH(B$6,Data[#Headers],0))</f>
        <v>PCM</v>
      </c>
      <c r="C248" s="22">
        <f>INDEX(Data[],MATCH($A248,Data[Dist],0),MATCH(C$6,Data[#Headers],0))</f>
        <v>648924</v>
      </c>
      <c r="D248" s="164">
        <f>INDEX(Data[],MATCH($A248,Data[Dist],0),MATCH(D$6,Data[#Headers],0))</f>
        <v>644578</v>
      </c>
      <c r="E248" s="164">
        <f>INDEX(Data[],MATCH($A248,Data[Dist],0),MATCH(E$6,Data[#Headers],0))</f>
        <v>644578</v>
      </c>
      <c r="F248" s="164">
        <f>INDEX(Data[],MATCH($A248,Data[Dist],0),MATCH(F$6,Data[#Headers],0))</f>
        <v>644577</v>
      </c>
      <c r="G248" s="22">
        <f>INDEX(Data[],MATCH($A248,Data[Dist],0),MATCH(G$6,Data[#Headers],0))</f>
        <v>6463163</v>
      </c>
      <c r="H248" s="22">
        <f>INDEX(Data[],MATCH($A248,Data[Dist],0),MATCH(H$6,Data[#Headers],0))-G248</f>
        <v>0</v>
      </c>
      <c r="I248" s="25"/>
      <c r="J248" s="22">
        <f>INDEX(Notes!$I$2:$N$11,MATCH(Notes!$B$2,Notes!$I$2:$I$11,0),4)*$C248</f>
        <v>2595696</v>
      </c>
      <c r="K248" s="22">
        <f>INDEX(Notes!$I$2:$N$11,MATCH(Notes!$B$2,Notes!$I$2:$I$11,0),5)*$D248</f>
        <v>1289156</v>
      </c>
      <c r="L248" s="22">
        <f>INDEX(Notes!$I$2:$N$11,MATCH(Notes!$B$2,Notes!$I$2:$I$11,0),6)*$E248</f>
        <v>1933734</v>
      </c>
      <c r="M248" s="22">
        <f>IF(Notes!$B$2="June",'Payment Total'!$F248,0)</f>
        <v>644577</v>
      </c>
      <c r="N248" s="22">
        <f t="shared" si="21"/>
        <v>0</v>
      </c>
      <c r="P248" s="26">
        <v>51600000</v>
      </c>
      <c r="Q248" s="26">
        <v>644577</v>
      </c>
      <c r="R248" s="21" t="str">
        <f t="shared" si="22"/>
        <v>5160</v>
      </c>
      <c r="S248" s="44" t="str">
        <f t="shared" si="23"/>
        <v>5319</v>
      </c>
      <c r="T248" s="20">
        <f t="shared" si="24"/>
        <v>0</v>
      </c>
      <c r="V248" s="46" t="s">
        <v>1052</v>
      </c>
      <c r="W248" s="26">
        <v>132089</v>
      </c>
      <c r="X248" s="21" t="str">
        <f t="shared" si="25"/>
        <v>5486</v>
      </c>
      <c r="Y248" s="44" t="str">
        <f t="shared" si="26"/>
        <v>5486</v>
      </c>
      <c r="Z248" s="45">
        <f t="shared" si="27"/>
        <v>0</v>
      </c>
    </row>
    <row r="249" spans="1:26" s="26" customFormat="1" ht="12.75" x14ac:dyDescent="0.2">
      <c r="A249" s="20" t="str">
        <f>Data!B244</f>
        <v>5323</v>
      </c>
      <c r="B249" s="21" t="str">
        <f>INDEX(Data[],MATCH($A249,Data[Dist],0),MATCH(B$6,Data[#Headers],0))</f>
        <v>Prairie Valley</v>
      </c>
      <c r="C249" s="22">
        <f>INDEX(Data[],MATCH($A249,Data[Dist],0),MATCH(C$6,Data[#Headers],0))</f>
        <v>290474</v>
      </c>
      <c r="D249" s="164">
        <f>INDEX(Data[],MATCH($A249,Data[Dist],0),MATCH(D$6,Data[#Headers],0))</f>
        <v>288067</v>
      </c>
      <c r="E249" s="164">
        <f>INDEX(Data[],MATCH($A249,Data[Dist],0),MATCH(E$6,Data[#Headers],0))</f>
        <v>288068</v>
      </c>
      <c r="F249" s="164">
        <f>INDEX(Data[],MATCH($A249,Data[Dist],0),MATCH(F$6,Data[#Headers],0))</f>
        <v>288066</v>
      </c>
      <c r="G249" s="22">
        <f>INDEX(Data[],MATCH($A249,Data[Dist],0),MATCH(G$6,Data[#Headers],0))</f>
        <v>2890300</v>
      </c>
      <c r="H249" s="22">
        <f>INDEX(Data[],MATCH($A249,Data[Dist],0),MATCH(H$6,Data[#Headers],0))-G249</f>
        <v>0</v>
      </c>
      <c r="I249" s="25"/>
      <c r="J249" s="22">
        <f>INDEX(Notes!$I$2:$N$11,MATCH(Notes!$B$2,Notes!$I$2:$I$11,0),4)*$C249</f>
        <v>1161896</v>
      </c>
      <c r="K249" s="22">
        <f>INDEX(Notes!$I$2:$N$11,MATCH(Notes!$B$2,Notes!$I$2:$I$11,0),5)*$D249</f>
        <v>576134</v>
      </c>
      <c r="L249" s="22">
        <f>INDEX(Notes!$I$2:$N$11,MATCH(Notes!$B$2,Notes!$I$2:$I$11,0),6)*$E249</f>
        <v>864204</v>
      </c>
      <c r="M249" s="22">
        <f>IF(Notes!$B$2="June",'Payment Total'!$F249,0)</f>
        <v>288066</v>
      </c>
      <c r="N249" s="22">
        <f t="shared" si="21"/>
        <v>0</v>
      </c>
      <c r="P249" s="26">
        <v>53250000</v>
      </c>
      <c r="Q249" s="26">
        <v>288066</v>
      </c>
      <c r="R249" s="21" t="str">
        <f t="shared" si="22"/>
        <v>5325</v>
      </c>
      <c r="S249" s="44" t="str">
        <f t="shared" si="23"/>
        <v>5323</v>
      </c>
      <c r="T249" s="20">
        <f t="shared" si="24"/>
        <v>0</v>
      </c>
      <c r="V249" s="46" t="s">
        <v>1053</v>
      </c>
      <c r="W249" s="26">
        <v>127005</v>
      </c>
      <c r="X249" s="21" t="str">
        <f t="shared" si="25"/>
        <v>5508</v>
      </c>
      <c r="Y249" s="44" t="str">
        <f t="shared" si="26"/>
        <v>5508</v>
      </c>
      <c r="Z249" s="45">
        <f t="shared" si="27"/>
        <v>0</v>
      </c>
    </row>
    <row r="250" spans="1:26" s="26" customFormat="1" ht="12.75" x14ac:dyDescent="0.2">
      <c r="A250" s="20" t="str">
        <f>Data!B245</f>
        <v>5463</v>
      </c>
      <c r="B250" s="21" t="str">
        <f>INDEX(Data[],MATCH($A250,Data[Dist],0),MATCH(B$6,Data[#Headers],0))</f>
        <v>Red Oak</v>
      </c>
      <c r="C250" s="22">
        <f>INDEX(Data[],MATCH($A250,Data[Dist],0),MATCH(C$6,Data[#Headers],0))</f>
        <v>641082</v>
      </c>
      <c r="D250" s="164">
        <f>INDEX(Data[],MATCH($A250,Data[Dist],0),MATCH(D$6,Data[#Headers],0))</f>
        <v>636681</v>
      </c>
      <c r="E250" s="164">
        <f>INDEX(Data[],MATCH($A250,Data[Dist],0),MATCH(E$6,Data[#Headers],0))</f>
        <v>636681</v>
      </c>
      <c r="F250" s="164">
        <f>INDEX(Data[],MATCH($A250,Data[Dist],0),MATCH(F$6,Data[#Headers],0))</f>
        <v>636681</v>
      </c>
      <c r="G250" s="22">
        <f>INDEX(Data[],MATCH($A250,Data[Dist],0),MATCH(G$6,Data[#Headers],0))</f>
        <v>6384414</v>
      </c>
      <c r="H250" s="22">
        <f>INDEX(Data[],MATCH($A250,Data[Dist],0),MATCH(H$6,Data[#Headers],0))-G250</f>
        <v>0</v>
      </c>
      <c r="I250" s="25"/>
      <c r="J250" s="22">
        <f>INDEX(Notes!$I$2:$N$11,MATCH(Notes!$B$2,Notes!$I$2:$I$11,0),4)*$C250</f>
        <v>2564328</v>
      </c>
      <c r="K250" s="22">
        <f>INDEX(Notes!$I$2:$N$11,MATCH(Notes!$B$2,Notes!$I$2:$I$11,0),5)*$D250</f>
        <v>1273362</v>
      </c>
      <c r="L250" s="22">
        <f>INDEX(Notes!$I$2:$N$11,MATCH(Notes!$B$2,Notes!$I$2:$I$11,0),6)*$E250</f>
        <v>1910043</v>
      </c>
      <c r="M250" s="22">
        <f>IF(Notes!$B$2="June",'Payment Total'!$F250,0)</f>
        <v>636681</v>
      </c>
      <c r="N250" s="22">
        <f t="shared" si="21"/>
        <v>0</v>
      </c>
      <c r="P250" s="26">
        <v>54630000</v>
      </c>
      <c r="Q250" s="26">
        <v>636681</v>
      </c>
      <c r="R250" s="21" t="str">
        <f t="shared" si="22"/>
        <v>5463</v>
      </c>
      <c r="S250" s="44" t="str">
        <f t="shared" si="23"/>
        <v>5463</v>
      </c>
      <c r="T250" s="20">
        <f t="shared" si="24"/>
        <v>0</v>
      </c>
      <c r="V250" s="46" t="s">
        <v>1055</v>
      </c>
      <c r="W250" s="26">
        <v>353223</v>
      </c>
      <c r="X250" s="21" t="str">
        <f t="shared" si="25"/>
        <v>5510</v>
      </c>
      <c r="Y250" s="44" t="str">
        <f t="shared" si="26"/>
        <v>4824</v>
      </c>
      <c r="Z250" s="45">
        <f t="shared" si="27"/>
        <v>0</v>
      </c>
    </row>
    <row r="251" spans="1:26" s="26" customFormat="1" ht="12.75" x14ac:dyDescent="0.2">
      <c r="A251" s="20" t="str">
        <f>Data!B246</f>
        <v>5486</v>
      </c>
      <c r="B251" s="21" t="str">
        <f>INDEX(Data[],MATCH($A251,Data[Dist],0),MATCH(B$6,Data[#Headers],0))</f>
        <v>Remsen-Union</v>
      </c>
      <c r="C251" s="22">
        <f>INDEX(Data[],MATCH($A251,Data[Dist],0),MATCH(C$6,Data[#Headers],0))</f>
        <v>143447</v>
      </c>
      <c r="D251" s="164">
        <f>INDEX(Data[],MATCH($A251,Data[Dist],0),MATCH(D$6,Data[#Headers],0))</f>
        <v>142014</v>
      </c>
      <c r="E251" s="164">
        <f>INDEX(Data[],MATCH($A251,Data[Dist],0),MATCH(E$6,Data[#Headers],0))</f>
        <v>132089</v>
      </c>
      <c r="F251" s="164">
        <f>INDEX(Data[],MATCH($A251,Data[Dist],0),MATCH(F$6,Data[#Headers],0))</f>
        <v>132089</v>
      </c>
      <c r="G251" s="22">
        <f>INDEX(Data[],MATCH($A251,Data[Dist],0),MATCH(G$6,Data[#Headers],0))</f>
        <v>1386172</v>
      </c>
      <c r="H251" s="22">
        <f>INDEX(Data[],MATCH($A251,Data[Dist],0),MATCH(H$6,Data[#Headers],0))-G251</f>
        <v>0</v>
      </c>
      <c r="I251" s="25"/>
      <c r="J251" s="22">
        <f>INDEX(Notes!$I$2:$N$11,MATCH(Notes!$B$2,Notes!$I$2:$I$11,0),4)*$C251</f>
        <v>573788</v>
      </c>
      <c r="K251" s="22">
        <f>INDEX(Notes!$I$2:$N$11,MATCH(Notes!$B$2,Notes!$I$2:$I$11,0),5)*$D251</f>
        <v>284028</v>
      </c>
      <c r="L251" s="22">
        <f>INDEX(Notes!$I$2:$N$11,MATCH(Notes!$B$2,Notes!$I$2:$I$11,0),6)*$E251</f>
        <v>396267</v>
      </c>
      <c r="M251" s="22">
        <f>IF(Notes!$B$2="June",'Payment Total'!$F251,0)</f>
        <v>132089</v>
      </c>
      <c r="N251" s="22">
        <f t="shared" si="21"/>
        <v>0</v>
      </c>
      <c r="P251" s="26">
        <v>54860000</v>
      </c>
      <c r="Q251" s="26">
        <v>132089</v>
      </c>
      <c r="R251" s="21" t="str">
        <f t="shared" si="22"/>
        <v>5486</v>
      </c>
      <c r="S251" s="44" t="str">
        <f t="shared" si="23"/>
        <v>5486</v>
      </c>
      <c r="T251" s="20">
        <f t="shared" si="24"/>
        <v>0</v>
      </c>
      <c r="V251" s="46" t="s">
        <v>1056</v>
      </c>
      <c r="W251" s="26">
        <v>509899</v>
      </c>
      <c r="X251" s="21" t="str">
        <f t="shared" si="25"/>
        <v>5607</v>
      </c>
      <c r="Y251" s="44" t="str">
        <f t="shared" si="26"/>
        <v>5607</v>
      </c>
      <c r="Z251" s="45">
        <f t="shared" si="27"/>
        <v>0</v>
      </c>
    </row>
    <row r="252" spans="1:26" s="26" customFormat="1" ht="12.75" x14ac:dyDescent="0.2">
      <c r="A252" s="20" t="str">
        <f>Data!B247</f>
        <v>5508</v>
      </c>
      <c r="B252" s="21" t="str">
        <f>INDEX(Data[],MATCH($A252,Data[Dist],0),MATCH(B$6,Data[#Headers],0))</f>
        <v>Riceville</v>
      </c>
      <c r="C252" s="22">
        <f>INDEX(Data[],MATCH($A252,Data[Dist],0),MATCH(C$6,Data[#Headers],0))</f>
        <v>128371</v>
      </c>
      <c r="D252" s="164">
        <f>INDEX(Data[],MATCH($A252,Data[Dist],0),MATCH(D$6,Data[#Headers],0))</f>
        <v>127004</v>
      </c>
      <c r="E252" s="164">
        <f>INDEX(Data[],MATCH($A252,Data[Dist],0),MATCH(E$6,Data[#Headers],0))</f>
        <v>127004</v>
      </c>
      <c r="F252" s="164">
        <f>INDEX(Data[],MATCH($A252,Data[Dist],0),MATCH(F$6,Data[#Headers],0))</f>
        <v>127005</v>
      </c>
      <c r="G252" s="22">
        <f>INDEX(Data[],MATCH($A252,Data[Dist],0),MATCH(G$6,Data[#Headers],0))</f>
        <v>1275509</v>
      </c>
      <c r="H252" s="22">
        <f>INDEX(Data[],MATCH($A252,Data[Dist],0),MATCH(H$6,Data[#Headers],0))-G252</f>
        <v>0</v>
      </c>
      <c r="I252" s="25"/>
      <c r="J252" s="22">
        <f>INDEX(Notes!$I$2:$N$11,MATCH(Notes!$B$2,Notes!$I$2:$I$11,0),4)*$C252</f>
        <v>513484</v>
      </c>
      <c r="K252" s="22">
        <f>INDEX(Notes!$I$2:$N$11,MATCH(Notes!$B$2,Notes!$I$2:$I$11,0),5)*$D252</f>
        <v>254008</v>
      </c>
      <c r="L252" s="22">
        <f>INDEX(Notes!$I$2:$N$11,MATCH(Notes!$B$2,Notes!$I$2:$I$11,0),6)*$E252</f>
        <v>381012</v>
      </c>
      <c r="M252" s="22">
        <f>IF(Notes!$B$2="June",'Payment Total'!$F252,0)</f>
        <v>127005</v>
      </c>
      <c r="N252" s="22">
        <f t="shared" si="21"/>
        <v>0</v>
      </c>
      <c r="P252" s="26">
        <v>55080000</v>
      </c>
      <c r="Q252" s="26">
        <v>127005</v>
      </c>
      <c r="R252" s="21" t="str">
        <f t="shared" si="22"/>
        <v>5508</v>
      </c>
      <c r="S252" s="44" t="str">
        <f t="shared" si="23"/>
        <v>5508</v>
      </c>
      <c r="T252" s="20">
        <f t="shared" si="24"/>
        <v>0</v>
      </c>
      <c r="V252" s="46" t="s">
        <v>1057</v>
      </c>
      <c r="W252" s="26">
        <v>589853</v>
      </c>
      <c r="X252" s="21" t="str">
        <f t="shared" si="25"/>
        <v>5643</v>
      </c>
      <c r="Y252" s="44" t="str">
        <f t="shared" si="26"/>
        <v>5643</v>
      </c>
      <c r="Z252" s="45">
        <f t="shared" si="27"/>
        <v>0</v>
      </c>
    </row>
    <row r="253" spans="1:26" s="26" customFormat="1" ht="12.75" x14ac:dyDescent="0.2">
      <c r="A253" s="20" t="str">
        <f>Data!B248</f>
        <v>5607</v>
      </c>
      <c r="B253" s="21" t="str">
        <f>INDEX(Data[],MATCH($A253,Data[Dist],0),MATCH(B$6,Data[#Headers],0))</f>
        <v>Rock Valley</v>
      </c>
      <c r="C253" s="22">
        <f>INDEX(Data[],MATCH($A253,Data[Dist],0),MATCH(C$6,Data[#Headers],0))</f>
        <v>513250</v>
      </c>
      <c r="D253" s="164">
        <f>INDEX(Data[],MATCH($A253,Data[Dist],0),MATCH(D$6,Data[#Headers],0))</f>
        <v>509898</v>
      </c>
      <c r="E253" s="164">
        <f>INDEX(Data[],MATCH($A253,Data[Dist],0),MATCH(E$6,Data[#Headers],0))</f>
        <v>509898</v>
      </c>
      <c r="F253" s="164">
        <f>INDEX(Data[],MATCH($A253,Data[Dist],0),MATCH(F$6,Data[#Headers],0))</f>
        <v>509899</v>
      </c>
      <c r="G253" s="22">
        <f>INDEX(Data[],MATCH($A253,Data[Dist],0),MATCH(G$6,Data[#Headers],0))</f>
        <v>5112389</v>
      </c>
      <c r="H253" s="22">
        <f>INDEX(Data[],MATCH($A253,Data[Dist],0),MATCH(H$6,Data[#Headers],0))-G253</f>
        <v>0</v>
      </c>
      <c r="I253" s="25"/>
      <c r="J253" s="22">
        <f>INDEX(Notes!$I$2:$N$11,MATCH(Notes!$B$2,Notes!$I$2:$I$11,0),4)*$C253</f>
        <v>2053000</v>
      </c>
      <c r="K253" s="22">
        <f>INDEX(Notes!$I$2:$N$11,MATCH(Notes!$B$2,Notes!$I$2:$I$11,0),5)*$D253</f>
        <v>1019796</v>
      </c>
      <c r="L253" s="22">
        <f>INDEX(Notes!$I$2:$N$11,MATCH(Notes!$B$2,Notes!$I$2:$I$11,0),6)*$E253</f>
        <v>1529694</v>
      </c>
      <c r="M253" s="22">
        <f>IF(Notes!$B$2="June",'Payment Total'!$F253,0)</f>
        <v>509899</v>
      </c>
      <c r="N253" s="22">
        <f t="shared" si="21"/>
        <v>0</v>
      </c>
      <c r="P253" s="26">
        <v>56070000</v>
      </c>
      <c r="Q253" s="26">
        <v>509899</v>
      </c>
      <c r="R253" s="21" t="str">
        <f t="shared" si="22"/>
        <v>5607</v>
      </c>
      <c r="S253" s="44" t="str">
        <f t="shared" si="23"/>
        <v>5607</v>
      </c>
      <c r="T253" s="20">
        <f t="shared" si="24"/>
        <v>0</v>
      </c>
      <c r="V253" s="46" t="s">
        <v>1058</v>
      </c>
      <c r="W253" s="26">
        <v>222478</v>
      </c>
      <c r="X253" s="21" t="str">
        <f t="shared" si="25"/>
        <v>5697</v>
      </c>
      <c r="Y253" s="44" t="str">
        <f t="shared" si="26"/>
        <v>5697</v>
      </c>
      <c r="Z253" s="45">
        <f t="shared" si="27"/>
        <v>0</v>
      </c>
    </row>
    <row r="254" spans="1:26" s="26" customFormat="1" ht="12.75" x14ac:dyDescent="0.2">
      <c r="A254" s="20" t="str">
        <f>Data!B249</f>
        <v>5643</v>
      </c>
      <c r="B254" s="21" t="str">
        <f>INDEX(Data[],MATCH($A254,Data[Dist],0),MATCH(B$6,Data[#Headers],0))</f>
        <v>Roland-Story</v>
      </c>
      <c r="C254" s="22">
        <f>INDEX(Data[],MATCH($A254,Data[Dist],0),MATCH(C$6,Data[#Headers],0))</f>
        <v>594063</v>
      </c>
      <c r="D254" s="164">
        <f>INDEX(Data[],MATCH($A254,Data[Dist],0),MATCH(D$6,Data[#Headers],0))</f>
        <v>589852</v>
      </c>
      <c r="E254" s="164">
        <f>INDEX(Data[],MATCH($A254,Data[Dist],0),MATCH(E$6,Data[#Headers],0))</f>
        <v>589852</v>
      </c>
      <c r="F254" s="164">
        <f>INDEX(Data[],MATCH($A254,Data[Dist],0),MATCH(F$6,Data[#Headers],0))</f>
        <v>589853</v>
      </c>
      <c r="G254" s="22">
        <f>INDEX(Data[],MATCH($A254,Data[Dist],0),MATCH(G$6,Data[#Headers],0))</f>
        <v>5915365</v>
      </c>
      <c r="H254" s="22">
        <f>INDEX(Data[],MATCH($A254,Data[Dist],0),MATCH(H$6,Data[#Headers],0))-G254</f>
        <v>0</v>
      </c>
      <c r="I254" s="25"/>
      <c r="J254" s="22">
        <f>INDEX(Notes!$I$2:$N$11,MATCH(Notes!$B$2,Notes!$I$2:$I$11,0),4)*$C254</f>
        <v>2376252</v>
      </c>
      <c r="K254" s="22">
        <f>INDEX(Notes!$I$2:$N$11,MATCH(Notes!$B$2,Notes!$I$2:$I$11,0),5)*$D254</f>
        <v>1179704</v>
      </c>
      <c r="L254" s="22">
        <f>INDEX(Notes!$I$2:$N$11,MATCH(Notes!$B$2,Notes!$I$2:$I$11,0),6)*$E254</f>
        <v>1769556</v>
      </c>
      <c r="M254" s="22">
        <f>IF(Notes!$B$2="June",'Payment Total'!$F254,0)</f>
        <v>589853</v>
      </c>
      <c r="N254" s="22">
        <f t="shared" si="21"/>
        <v>0</v>
      </c>
      <c r="P254" s="26">
        <v>56430000</v>
      </c>
      <c r="Q254" s="26">
        <v>589853</v>
      </c>
      <c r="R254" s="21" t="str">
        <f t="shared" si="22"/>
        <v>5643</v>
      </c>
      <c r="S254" s="44" t="str">
        <f t="shared" si="23"/>
        <v>5643</v>
      </c>
      <c r="T254" s="20">
        <f t="shared" si="24"/>
        <v>0</v>
      </c>
      <c r="V254" s="46" t="s">
        <v>1059</v>
      </c>
      <c r="W254" s="26">
        <v>129790</v>
      </c>
      <c r="X254" s="21" t="str">
        <f t="shared" si="25"/>
        <v>5724</v>
      </c>
      <c r="Y254" s="44" t="str">
        <f t="shared" si="26"/>
        <v>5724</v>
      </c>
      <c r="Z254" s="45">
        <f t="shared" si="27"/>
        <v>0</v>
      </c>
    </row>
    <row r="255" spans="1:26" s="26" customFormat="1" ht="12.75" x14ac:dyDescent="0.2">
      <c r="A255" s="20" t="str">
        <f>Data!B250</f>
        <v>5697</v>
      </c>
      <c r="B255" s="21" t="str">
        <f>INDEX(Data[],MATCH($A255,Data[Dist],0),MATCH(B$6,Data[#Headers],0))</f>
        <v>Rudd-Rockford-Marble Rock</v>
      </c>
      <c r="C255" s="22">
        <f>INDEX(Data[],MATCH($A255,Data[Dist],0),MATCH(C$6,Data[#Headers],0))</f>
        <v>224219</v>
      </c>
      <c r="D255" s="164">
        <f>INDEX(Data[],MATCH($A255,Data[Dist],0),MATCH(D$6,Data[#Headers],0))</f>
        <v>222479</v>
      </c>
      <c r="E255" s="164">
        <f>INDEX(Data[],MATCH($A255,Data[Dist],0),MATCH(E$6,Data[#Headers],0))</f>
        <v>222480</v>
      </c>
      <c r="F255" s="164">
        <f>INDEX(Data[],MATCH($A255,Data[Dist],0),MATCH(F$6,Data[#Headers],0))</f>
        <v>222478</v>
      </c>
      <c r="G255" s="22">
        <f>INDEX(Data[],MATCH($A255,Data[Dist],0),MATCH(G$6,Data[#Headers],0))</f>
        <v>2231752</v>
      </c>
      <c r="H255" s="22">
        <f>INDEX(Data[],MATCH($A255,Data[Dist],0),MATCH(H$6,Data[#Headers],0))-G255</f>
        <v>0</v>
      </c>
      <c r="I255" s="25"/>
      <c r="J255" s="22">
        <f>INDEX(Notes!$I$2:$N$11,MATCH(Notes!$B$2,Notes!$I$2:$I$11,0),4)*$C255</f>
        <v>896876</v>
      </c>
      <c r="K255" s="22">
        <f>INDEX(Notes!$I$2:$N$11,MATCH(Notes!$B$2,Notes!$I$2:$I$11,0),5)*$D255</f>
        <v>444958</v>
      </c>
      <c r="L255" s="22">
        <f>INDEX(Notes!$I$2:$N$11,MATCH(Notes!$B$2,Notes!$I$2:$I$11,0),6)*$E255</f>
        <v>667440</v>
      </c>
      <c r="M255" s="22">
        <f>IF(Notes!$B$2="June",'Payment Total'!$F255,0)</f>
        <v>222478</v>
      </c>
      <c r="N255" s="22">
        <f t="shared" si="21"/>
        <v>0</v>
      </c>
      <c r="P255" s="26">
        <v>56970000</v>
      </c>
      <c r="Q255" s="26">
        <v>222478</v>
      </c>
      <c r="R255" s="21" t="str">
        <f t="shared" si="22"/>
        <v>5697</v>
      </c>
      <c r="S255" s="44" t="str">
        <f t="shared" si="23"/>
        <v>5697</v>
      </c>
      <c r="T255" s="20">
        <f t="shared" si="24"/>
        <v>0</v>
      </c>
      <c r="V255" s="46" t="s">
        <v>1086</v>
      </c>
      <c r="W255" s="26">
        <v>279426</v>
      </c>
      <c r="X255" s="21" t="str">
        <f t="shared" si="25"/>
        <v>5751</v>
      </c>
      <c r="Y255" s="44" t="str">
        <f t="shared" si="26"/>
        <v>5751</v>
      </c>
      <c r="Z255" s="45">
        <f t="shared" si="27"/>
        <v>0</v>
      </c>
    </row>
    <row r="256" spans="1:26" s="26" customFormat="1" ht="12.75" x14ac:dyDescent="0.2">
      <c r="A256" s="20" t="str">
        <f>Data!B251</f>
        <v>5724</v>
      </c>
      <c r="B256" s="21" t="str">
        <f>INDEX(Data[],MATCH($A256,Data[Dist],0),MATCH(B$6,Data[#Headers],0))</f>
        <v>Ruthven-Ayrshire</v>
      </c>
      <c r="C256" s="22">
        <f>INDEX(Data[],MATCH($A256,Data[Dist],0),MATCH(C$6,Data[#Headers],0))</f>
        <v>130715</v>
      </c>
      <c r="D256" s="164">
        <f>INDEX(Data[],MATCH($A256,Data[Dist],0),MATCH(D$6,Data[#Headers],0))</f>
        <v>129790</v>
      </c>
      <c r="E256" s="164">
        <f>INDEX(Data[],MATCH($A256,Data[Dist],0),MATCH(E$6,Data[#Headers],0))</f>
        <v>129790</v>
      </c>
      <c r="F256" s="164">
        <f>INDEX(Data[],MATCH($A256,Data[Dist],0),MATCH(F$6,Data[#Headers],0))</f>
        <v>129790</v>
      </c>
      <c r="G256" s="22">
        <f>INDEX(Data[],MATCH($A256,Data[Dist],0),MATCH(G$6,Data[#Headers],0))</f>
        <v>1301600</v>
      </c>
      <c r="H256" s="22">
        <f>INDEX(Data[],MATCH($A256,Data[Dist],0),MATCH(H$6,Data[#Headers],0))-G256</f>
        <v>0</v>
      </c>
      <c r="I256" s="25"/>
      <c r="J256" s="22">
        <f>INDEX(Notes!$I$2:$N$11,MATCH(Notes!$B$2,Notes!$I$2:$I$11,0),4)*$C256</f>
        <v>522860</v>
      </c>
      <c r="K256" s="22">
        <f>INDEX(Notes!$I$2:$N$11,MATCH(Notes!$B$2,Notes!$I$2:$I$11,0),5)*$D256</f>
        <v>259580</v>
      </c>
      <c r="L256" s="22">
        <f>INDEX(Notes!$I$2:$N$11,MATCH(Notes!$B$2,Notes!$I$2:$I$11,0),6)*$E256</f>
        <v>389370</v>
      </c>
      <c r="M256" s="22">
        <f>IF(Notes!$B$2="June",'Payment Total'!$F256,0)</f>
        <v>129790</v>
      </c>
      <c r="N256" s="22">
        <f t="shared" si="21"/>
        <v>0</v>
      </c>
      <c r="P256" s="26">
        <v>57240000</v>
      </c>
      <c r="Q256" s="26">
        <v>129790</v>
      </c>
      <c r="R256" s="21" t="str">
        <f t="shared" si="22"/>
        <v>5724</v>
      </c>
      <c r="S256" s="44" t="str">
        <f t="shared" si="23"/>
        <v>5724</v>
      </c>
      <c r="T256" s="20">
        <f t="shared" si="24"/>
        <v>0</v>
      </c>
      <c r="V256" s="46" t="s">
        <v>1060</v>
      </c>
      <c r="W256" s="26">
        <v>418113</v>
      </c>
      <c r="X256" s="21" t="str">
        <f t="shared" si="25"/>
        <v>5805</v>
      </c>
      <c r="Y256" s="44" t="str">
        <f t="shared" si="26"/>
        <v>5805</v>
      </c>
      <c r="Z256" s="45">
        <f t="shared" si="27"/>
        <v>0</v>
      </c>
    </row>
    <row r="257" spans="1:26" s="26" customFormat="1" ht="12.75" x14ac:dyDescent="0.2">
      <c r="A257" s="20" t="str">
        <f>Data!B252</f>
        <v>5751</v>
      </c>
      <c r="B257" s="21" t="str">
        <f>INDEX(Data[],MATCH($A257,Data[Dist],0),MATCH(B$6,Data[#Headers],0))</f>
        <v>St Ansgar</v>
      </c>
      <c r="C257" s="22">
        <f>INDEX(Data[],MATCH($A257,Data[Dist],0),MATCH(C$6,Data[#Headers],0))</f>
        <v>281900</v>
      </c>
      <c r="D257" s="164">
        <f>INDEX(Data[],MATCH($A257,Data[Dist],0),MATCH(D$6,Data[#Headers],0))</f>
        <v>279426</v>
      </c>
      <c r="E257" s="164">
        <f>INDEX(Data[],MATCH($A257,Data[Dist],0),MATCH(E$6,Data[#Headers],0))</f>
        <v>279425</v>
      </c>
      <c r="F257" s="164">
        <f>INDEX(Data[],MATCH($A257,Data[Dist],0),MATCH(F$6,Data[#Headers],0))</f>
        <v>279426</v>
      </c>
      <c r="G257" s="22">
        <f>INDEX(Data[],MATCH($A257,Data[Dist],0),MATCH(G$6,Data[#Headers],0))</f>
        <v>2804153</v>
      </c>
      <c r="H257" s="22">
        <f>INDEX(Data[],MATCH($A257,Data[Dist],0),MATCH(H$6,Data[#Headers],0))-G257</f>
        <v>0</v>
      </c>
      <c r="I257" s="25"/>
      <c r="J257" s="22">
        <f>INDEX(Notes!$I$2:$N$11,MATCH(Notes!$B$2,Notes!$I$2:$I$11,0),4)*$C257</f>
        <v>1127600</v>
      </c>
      <c r="K257" s="22">
        <f>INDEX(Notes!$I$2:$N$11,MATCH(Notes!$B$2,Notes!$I$2:$I$11,0),5)*$D257</f>
        <v>558852</v>
      </c>
      <c r="L257" s="22">
        <f>INDEX(Notes!$I$2:$N$11,MATCH(Notes!$B$2,Notes!$I$2:$I$11,0),6)*$E257</f>
        <v>838275</v>
      </c>
      <c r="M257" s="22">
        <f>IF(Notes!$B$2="June",'Payment Total'!$F257,0)</f>
        <v>279426</v>
      </c>
      <c r="N257" s="22">
        <f t="shared" si="21"/>
        <v>0</v>
      </c>
      <c r="P257" s="26">
        <v>57510000</v>
      </c>
      <c r="Q257" s="26">
        <v>279426</v>
      </c>
      <c r="R257" s="21" t="str">
        <f t="shared" si="22"/>
        <v>5751</v>
      </c>
      <c r="S257" s="44" t="str">
        <f t="shared" si="23"/>
        <v>5751</v>
      </c>
      <c r="T257" s="20">
        <f t="shared" si="24"/>
        <v>0</v>
      </c>
      <c r="V257" s="46" t="s">
        <v>1061</v>
      </c>
      <c r="W257" s="26">
        <v>166237</v>
      </c>
      <c r="X257" s="21" t="str">
        <f t="shared" si="25"/>
        <v>5823</v>
      </c>
      <c r="Y257" s="44" t="str">
        <f t="shared" si="26"/>
        <v>5823</v>
      </c>
      <c r="Z257" s="45">
        <f t="shared" si="27"/>
        <v>0</v>
      </c>
    </row>
    <row r="258" spans="1:26" s="26" customFormat="1" ht="12.75" x14ac:dyDescent="0.2">
      <c r="A258" s="20" t="str">
        <f>Data!B253</f>
        <v>5805</v>
      </c>
      <c r="B258" s="21" t="str">
        <f>INDEX(Data[],MATCH($A258,Data[Dist],0),MATCH(B$6,Data[#Headers],0))</f>
        <v>Saydel</v>
      </c>
      <c r="C258" s="22">
        <f>INDEX(Data[],MATCH($A258,Data[Dist],0),MATCH(C$6,Data[#Headers],0))</f>
        <v>422774</v>
      </c>
      <c r="D258" s="164">
        <f>INDEX(Data[],MATCH($A258,Data[Dist],0),MATCH(D$6,Data[#Headers],0))</f>
        <v>418114</v>
      </c>
      <c r="E258" s="164">
        <f>INDEX(Data[],MATCH($A258,Data[Dist],0),MATCH(E$6,Data[#Headers],0))</f>
        <v>418114</v>
      </c>
      <c r="F258" s="164">
        <f>INDEX(Data[],MATCH($A258,Data[Dist],0),MATCH(F$6,Data[#Headers],0))</f>
        <v>418113</v>
      </c>
      <c r="G258" s="22">
        <f>INDEX(Data[],MATCH($A258,Data[Dist],0),MATCH(G$6,Data[#Headers],0))</f>
        <v>4199779</v>
      </c>
      <c r="H258" s="22">
        <f>INDEX(Data[],MATCH($A258,Data[Dist],0),MATCH(H$6,Data[#Headers],0))-G258</f>
        <v>0</v>
      </c>
      <c r="I258" s="25"/>
      <c r="J258" s="22">
        <f>INDEX(Notes!$I$2:$N$11,MATCH(Notes!$B$2,Notes!$I$2:$I$11,0),4)*$C258</f>
        <v>1691096</v>
      </c>
      <c r="K258" s="22">
        <f>INDEX(Notes!$I$2:$N$11,MATCH(Notes!$B$2,Notes!$I$2:$I$11,0),5)*$D258</f>
        <v>836228</v>
      </c>
      <c r="L258" s="22">
        <f>INDEX(Notes!$I$2:$N$11,MATCH(Notes!$B$2,Notes!$I$2:$I$11,0),6)*$E258</f>
        <v>1254342</v>
      </c>
      <c r="M258" s="22">
        <f>IF(Notes!$B$2="June",'Payment Total'!$F258,0)</f>
        <v>418113</v>
      </c>
      <c r="N258" s="22">
        <f t="shared" si="21"/>
        <v>0</v>
      </c>
      <c r="P258" s="26">
        <v>58050000</v>
      </c>
      <c r="Q258" s="26">
        <v>418113</v>
      </c>
      <c r="R258" s="21" t="str">
        <f t="shared" si="22"/>
        <v>5805</v>
      </c>
      <c r="S258" s="44" t="str">
        <f t="shared" si="23"/>
        <v>5805</v>
      </c>
      <c r="T258" s="20">
        <f t="shared" si="24"/>
        <v>0</v>
      </c>
      <c r="V258" s="46" t="s">
        <v>1062</v>
      </c>
      <c r="W258" s="26">
        <v>130969</v>
      </c>
      <c r="X258" s="21" t="str">
        <f t="shared" si="25"/>
        <v>5832</v>
      </c>
      <c r="Y258" s="44" t="str">
        <f t="shared" si="26"/>
        <v>5832</v>
      </c>
      <c r="Z258" s="45">
        <f t="shared" si="27"/>
        <v>0</v>
      </c>
    </row>
    <row r="259" spans="1:26" s="26" customFormat="1" ht="12.75" x14ac:dyDescent="0.2">
      <c r="A259" s="20" t="str">
        <f>Data!B254</f>
        <v>5823</v>
      </c>
      <c r="B259" s="21" t="str">
        <f>INDEX(Data[],MATCH($A259,Data[Dist],0),MATCH(B$6,Data[#Headers],0))</f>
        <v>Schaller-Crestland</v>
      </c>
      <c r="C259" s="22">
        <f>INDEX(Data[],MATCH($A259,Data[Dist],0),MATCH(C$6,Data[#Headers],0))</f>
        <v>167691</v>
      </c>
      <c r="D259" s="164">
        <f>INDEX(Data[],MATCH($A259,Data[Dist],0),MATCH(D$6,Data[#Headers],0))</f>
        <v>166238</v>
      </c>
      <c r="E259" s="164">
        <f>INDEX(Data[],MATCH($A259,Data[Dist],0),MATCH(E$6,Data[#Headers],0))</f>
        <v>166238</v>
      </c>
      <c r="F259" s="164">
        <f>INDEX(Data[],MATCH($A259,Data[Dist],0),MATCH(F$6,Data[#Headers],0))</f>
        <v>166237</v>
      </c>
      <c r="G259" s="22">
        <f>INDEX(Data[],MATCH($A259,Data[Dist],0),MATCH(G$6,Data[#Headers],0))</f>
        <v>1668191</v>
      </c>
      <c r="H259" s="22">
        <f>INDEX(Data[],MATCH($A259,Data[Dist],0),MATCH(H$6,Data[#Headers],0))-G259</f>
        <v>0</v>
      </c>
      <c r="I259" s="25"/>
      <c r="J259" s="22">
        <f>INDEX(Notes!$I$2:$N$11,MATCH(Notes!$B$2,Notes!$I$2:$I$11,0),4)*$C259</f>
        <v>670764</v>
      </c>
      <c r="K259" s="22">
        <f>INDEX(Notes!$I$2:$N$11,MATCH(Notes!$B$2,Notes!$I$2:$I$11,0),5)*$D259</f>
        <v>332476</v>
      </c>
      <c r="L259" s="22">
        <f>INDEX(Notes!$I$2:$N$11,MATCH(Notes!$B$2,Notes!$I$2:$I$11,0),6)*$E259</f>
        <v>498714</v>
      </c>
      <c r="M259" s="22">
        <f>IF(Notes!$B$2="June",'Payment Total'!$F259,0)</f>
        <v>166237</v>
      </c>
      <c r="N259" s="22">
        <f t="shared" si="21"/>
        <v>0</v>
      </c>
      <c r="P259" s="26">
        <v>58230000</v>
      </c>
      <c r="Q259" s="26">
        <v>166237</v>
      </c>
      <c r="R259" s="21" t="str">
        <f t="shared" si="22"/>
        <v>5823</v>
      </c>
      <c r="S259" s="44" t="str">
        <f t="shared" si="23"/>
        <v>5823</v>
      </c>
      <c r="T259" s="20">
        <f t="shared" si="24"/>
        <v>0</v>
      </c>
      <c r="V259" s="46" t="s">
        <v>1063</v>
      </c>
      <c r="W259" s="26">
        <v>721643</v>
      </c>
      <c r="X259" s="21" t="str">
        <f t="shared" si="25"/>
        <v>5877</v>
      </c>
      <c r="Y259" s="44" t="str">
        <f t="shared" si="26"/>
        <v>5877</v>
      </c>
      <c r="Z259" s="45">
        <f t="shared" si="27"/>
        <v>0</v>
      </c>
    </row>
    <row r="260" spans="1:26" s="26" customFormat="1" ht="12.75" x14ac:dyDescent="0.2">
      <c r="A260" s="20" t="str">
        <f>Data!B255</f>
        <v>5832</v>
      </c>
      <c r="B260" s="21" t="str">
        <f>INDEX(Data[],MATCH($A260,Data[Dist],0),MATCH(B$6,Data[#Headers],0))</f>
        <v>Schleswig</v>
      </c>
      <c r="C260" s="22">
        <f>INDEX(Data[],MATCH($A260,Data[Dist],0),MATCH(C$6,Data[#Headers],0))</f>
        <v>132078</v>
      </c>
      <c r="D260" s="164">
        <f>INDEX(Data[],MATCH($A260,Data[Dist],0),MATCH(D$6,Data[#Headers],0))</f>
        <v>130970</v>
      </c>
      <c r="E260" s="164">
        <f>INDEX(Data[],MATCH($A260,Data[Dist],0),MATCH(E$6,Data[#Headers],0))</f>
        <v>130971</v>
      </c>
      <c r="F260" s="164">
        <f>INDEX(Data[],MATCH($A260,Data[Dist],0),MATCH(F$6,Data[#Headers],0))</f>
        <v>130969</v>
      </c>
      <c r="G260" s="22">
        <f>INDEX(Data[],MATCH($A260,Data[Dist],0),MATCH(G$6,Data[#Headers],0))</f>
        <v>1314134</v>
      </c>
      <c r="H260" s="22">
        <f>INDEX(Data[],MATCH($A260,Data[Dist],0),MATCH(H$6,Data[#Headers],0))-G260</f>
        <v>0</v>
      </c>
      <c r="I260" s="25"/>
      <c r="J260" s="22">
        <f>INDEX(Notes!$I$2:$N$11,MATCH(Notes!$B$2,Notes!$I$2:$I$11,0),4)*$C260</f>
        <v>528312</v>
      </c>
      <c r="K260" s="22">
        <f>INDEX(Notes!$I$2:$N$11,MATCH(Notes!$B$2,Notes!$I$2:$I$11,0),5)*$D260</f>
        <v>261940</v>
      </c>
      <c r="L260" s="22">
        <f>INDEX(Notes!$I$2:$N$11,MATCH(Notes!$B$2,Notes!$I$2:$I$11,0),6)*$E260</f>
        <v>392913</v>
      </c>
      <c r="M260" s="22">
        <f>IF(Notes!$B$2="June",'Payment Total'!$F260,0)</f>
        <v>130969</v>
      </c>
      <c r="N260" s="22">
        <f t="shared" si="21"/>
        <v>0</v>
      </c>
      <c r="P260" s="26">
        <v>58320000</v>
      </c>
      <c r="Q260" s="26">
        <v>130969</v>
      </c>
      <c r="R260" s="21" t="str">
        <f t="shared" si="22"/>
        <v>5832</v>
      </c>
      <c r="S260" s="44" t="str">
        <f t="shared" si="23"/>
        <v>5832</v>
      </c>
      <c r="T260" s="20">
        <f t="shared" si="24"/>
        <v>0</v>
      </c>
      <c r="V260" s="46" t="s">
        <v>1064</v>
      </c>
      <c r="W260" s="26">
        <v>176561</v>
      </c>
      <c r="X260" s="21" t="str">
        <f t="shared" si="25"/>
        <v>5895</v>
      </c>
      <c r="Y260" s="44" t="str">
        <f t="shared" si="26"/>
        <v>5895</v>
      </c>
      <c r="Z260" s="45">
        <f t="shared" si="27"/>
        <v>0</v>
      </c>
    </row>
    <row r="261" spans="1:26" s="26" customFormat="1" ht="12.75" x14ac:dyDescent="0.2">
      <c r="A261" s="20" t="str">
        <f>Data!B256</f>
        <v>5877</v>
      </c>
      <c r="B261" s="21" t="str">
        <f>INDEX(Data[],MATCH($A261,Data[Dist],0),MATCH(B$6,Data[#Headers],0))</f>
        <v>Sergeant Bluff-Luton</v>
      </c>
      <c r="C261" s="22">
        <f>INDEX(Data[],MATCH($A261,Data[Dist],0),MATCH(C$6,Data[#Headers],0))</f>
        <v>727618</v>
      </c>
      <c r="D261" s="164">
        <f>INDEX(Data[],MATCH($A261,Data[Dist],0),MATCH(D$6,Data[#Headers],0))</f>
        <v>721643</v>
      </c>
      <c r="E261" s="164">
        <f>INDEX(Data[],MATCH($A261,Data[Dist],0),MATCH(E$6,Data[#Headers],0))</f>
        <v>721643</v>
      </c>
      <c r="F261" s="164">
        <f>INDEX(Data[],MATCH($A261,Data[Dist],0),MATCH(F$6,Data[#Headers],0))</f>
        <v>721643</v>
      </c>
      <c r="G261" s="22">
        <f>INDEX(Data[],MATCH($A261,Data[Dist],0),MATCH(G$6,Data[#Headers],0))</f>
        <v>7240330</v>
      </c>
      <c r="H261" s="22">
        <f>INDEX(Data[],MATCH($A261,Data[Dist],0),MATCH(H$6,Data[#Headers],0))-G261</f>
        <v>0</v>
      </c>
      <c r="I261" s="25"/>
      <c r="J261" s="22">
        <f>INDEX(Notes!$I$2:$N$11,MATCH(Notes!$B$2,Notes!$I$2:$I$11,0),4)*$C261</f>
        <v>2910472</v>
      </c>
      <c r="K261" s="22">
        <f>INDEX(Notes!$I$2:$N$11,MATCH(Notes!$B$2,Notes!$I$2:$I$11,0),5)*$D261</f>
        <v>1443286</v>
      </c>
      <c r="L261" s="22">
        <f>INDEX(Notes!$I$2:$N$11,MATCH(Notes!$B$2,Notes!$I$2:$I$11,0),6)*$E261</f>
        <v>2164929</v>
      </c>
      <c r="M261" s="22">
        <f>IF(Notes!$B$2="June",'Payment Total'!$F261,0)</f>
        <v>721643</v>
      </c>
      <c r="N261" s="22">
        <f t="shared" si="21"/>
        <v>0</v>
      </c>
      <c r="P261" s="26">
        <v>58770000</v>
      </c>
      <c r="Q261" s="26">
        <v>721643</v>
      </c>
      <c r="R261" s="21" t="str">
        <f t="shared" si="22"/>
        <v>5877</v>
      </c>
      <c r="S261" s="44" t="str">
        <f t="shared" si="23"/>
        <v>5877</v>
      </c>
      <c r="T261" s="20">
        <f t="shared" si="24"/>
        <v>0</v>
      </c>
      <c r="V261" s="46" t="s">
        <v>1124</v>
      </c>
      <c r="W261" s="26">
        <v>361371</v>
      </c>
      <c r="X261" s="21" t="str">
        <f t="shared" si="25"/>
        <v>5922</v>
      </c>
      <c r="Y261" s="44" t="str">
        <f t="shared" si="26"/>
        <v>5922</v>
      </c>
      <c r="Z261" s="45">
        <f t="shared" si="27"/>
        <v>0</v>
      </c>
    </row>
    <row r="262" spans="1:26" s="26" customFormat="1" ht="12.75" x14ac:dyDescent="0.2">
      <c r="A262" s="20" t="str">
        <f>Data!B257</f>
        <v>5895</v>
      </c>
      <c r="B262" s="21" t="str">
        <f>INDEX(Data[],MATCH($A262,Data[Dist],0),MATCH(B$6,Data[#Headers],0))</f>
        <v>Seymour</v>
      </c>
      <c r="C262" s="22">
        <f>INDEX(Data[],MATCH($A262,Data[Dist],0),MATCH(C$6,Data[#Headers],0))</f>
        <v>177727</v>
      </c>
      <c r="D262" s="164">
        <f>INDEX(Data[],MATCH($A262,Data[Dist],0),MATCH(D$6,Data[#Headers],0))</f>
        <v>176561</v>
      </c>
      <c r="E262" s="164">
        <f>INDEX(Data[],MATCH($A262,Data[Dist],0),MATCH(E$6,Data[#Headers],0))</f>
        <v>176560</v>
      </c>
      <c r="F262" s="164">
        <f>INDEX(Data[],MATCH($A262,Data[Dist],0),MATCH(F$6,Data[#Headers],0))</f>
        <v>176561</v>
      </c>
      <c r="G262" s="22">
        <f>INDEX(Data[],MATCH($A262,Data[Dist],0),MATCH(G$6,Data[#Headers],0))</f>
        <v>1770271</v>
      </c>
      <c r="H262" s="22">
        <f>INDEX(Data[],MATCH($A262,Data[Dist],0),MATCH(H$6,Data[#Headers],0))-G262</f>
        <v>0</v>
      </c>
      <c r="I262" s="25"/>
      <c r="J262" s="22">
        <f>INDEX(Notes!$I$2:$N$11,MATCH(Notes!$B$2,Notes!$I$2:$I$11,0),4)*$C262</f>
        <v>710908</v>
      </c>
      <c r="K262" s="22">
        <f>INDEX(Notes!$I$2:$N$11,MATCH(Notes!$B$2,Notes!$I$2:$I$11,0),5)*$D262</f>
        <v>353122</v>
      </c>
      <c r="L262" s="22">
        <f>INDEX(Notes!$I$2:$N$11,MATCH(Notes!$B$2,Notes!$I$2:$I$11,0),6)*$E262</f>
        <v>529680</v>
      </c>
      <c r="M262" s="22">
        <f>IF(Notes!$B$2="June",'Payment Total'!$F262,0)</f>
        <v>176561</v>
      </c>
      <c r="N262" s="22">
        <f t="shared" si="21"/>
        <v>0</v>
      </c>
      <c r="P262" s="26">
        <v>58950000</v>
      </c>
      <c r="Q262" s="26">
        <v>176561</v>
      </c>
      <c r="R262" s="21" t="str">
        <f t="shared" si="22"/>
        <v>5895</v>
      </c>
      <c r="S262" s="44" t="str">
        <f t="shared" si="23"/>
        <v>5895</v>
      </c>
      <c r="T262" s="20">
        <f t="shared" si="24"/>
        <v>0</v>
      </c>
      <c r="V262" s="46" t="s">
        <v>1065</v>
      </c>
      <c r="W262" s="26">
        <v>656972</v>
      </c>
      <c r="X262" s="21" t="str">
        <f t="shared" si="25"/>
        <v>5949</v>
      </c>
      <c r="Y262" s="44" t="str">
        <f t="shared" si="26"/>
        <v>5949</v>
      </c>
      <c r="Z262" s="45">
        <f t="shared" si="27"/>
        <v>0</v>
      </c>
    </row>
    <row r="263" spans="1:26" s="26" customFormat="1" ht="12.75" x14ac:dyDescent="0.2">
      <c r="A263" s="20" t="str">
        <f>Data!B258</f>
        <v>5922</v>
      </c>
      <c r="B263" s="21" t="str">
        <f>INDEX(Data[],MATCH($A263,Data[Dist],0),MATCH(B$6,Data[#Headers],0))</f>
        <v>West Fork</v>
      </c>
      <c r="C263" s="22">
        <f>INDEX(Data[],MATCH($A263,Data[Dist],0),MATCH(C$6,Data[#Headers],0))</f>
        <v>364289</v>
      </c>
      <c r="D263" s="164">
        <f>INDEX(Data[],MATCH($A263,Data[Dist],0),MATCH(D$6,Data[#Headers],0))</f>
        <v>361370</v>
      </c>
      <c r="E263" s="164">
        <f>INDEX(Data[],MATCH($A263,Data[Dist],0),MATCH(E$6,Data[#Headers],0))</f>
        <v>361370</v>
      </c>
      <c r="F263" s="164">
        <f>INDEX(Data[],MATCH($A263,Data[Dist],0),MATCH(F$6,Data[#Headers],0))</f>
        <v>361371</v>
      </c>
      <c r="G263" s="22">
        <f>INDEX(Data[],MATCH($A263,Data[Dist],0),MATCH(G$6,Data[#Headers],0))</f>
        <v>3625377</v>
      </c>
      <c r="H263" s="22">
        <f>INDEX(Data[],MATCH($A263,Data[Dist],0),MATCH(H$6,Data[#Headers],0))-G263</f>
        <v>0</v>
      </c>
      <c r="I263" s="25"/>
      <c r="J263" s="22">
        <f>INDEX(Notes!$I$2:$N$11,MATCH(Notes!$B$2,Notes!$I$2:$I$11,0),4)*$C263</f>
        <v>1457156</v>
      </c>
      <c r="K263" s="22">
        <f>INDEX(Notes!$I$2:$N$11,MATCH(Notes!$B$2,Notes!$I$2:$I$11,0),5)*$D263</f>
        <v>722740</v>
      </c>
      <c r="L263" s="22">
        <f>INDEX(Notes!$I$2:$N$11,MATCH(Notes!$B$2,Notes!$I$2:$I$11,0),6)*$E263</f>
        <v>1084110</v>
      </c>
      <c r="M263" s="22">
        <f>IF(Notes!$B$2="June",'Payment Total'!$F263,0)</f>
        <v>361371</v>
      </c>
      <c r="N263" s="22">
        <f t="shared" si="21"/>
        <v>0</v>
      </c>
      <c r="P263" s="26">
        <v>59220000</v>
      </c>
      <c r="Q263" s="26">
        <v>361371</v>
      </c>
      <c r="R263" s="21" t="str">
        <f t="shared" si="22"/>
        <v>5922</v>
      </c>
      <c r="S263" s="44" t="str">
        <f t="shared" si="23"/>
        <v>5922</v>
      </c>
      <c r="T263" s="20">
        <f t="shared" si="24"/>
        <v>0</v>
      </c>
      <c r="V263" s="46" t="s">
        <v>1066</v>
      </c>
      <c r="W263" s="26">
        <v>663805</v>
      </c>
      <c r="X263" s="21" t="str">
        <f t="shared" si="25"/>
        <v>5976</v>
      </c>
      <c r="Y263" s="44" t="str">
        <f t="shared" si="26"/>
        <v>5976</v>
      </c>
      <c r="Z263" s="45">
        <f t="shared" si="27"/>
        <v>0</v>
      </c>
    </row>
    <row r="264" spans="1:26" s="26" customFormat="1" ht="12.75" x14ac:dyDescent="0.2">
      <c r="A264" s="20" t="str">
        <f>Data!B259</f>
        <v>5949</v>
      </c>
      <c r="B264" s="21" t="str">
        <f>INDEX(Data[],MATCH($A264,Data[Dist],0),MATCH(B$6,Data[#Headers],0))</f>
        <v>Sheldon</v>
      </c>
      <c r="C264" s="22">
        <f>INDEX(Data[],MATCH($A264,Data[Dist],0),MATCH(C$6,Data[#Headers],0))</f>
        <v>661432</v>
      </c>
      <c r="D264" s="164">
        <f>INDEX(Data[],MATCH($A264,Data[Dist],0),MATCH(D$6,Data[#Headers],0))</f>
        <v>656971</v>
      </c>
      <c r="E264" s="164">
        <f>INDEX(Data[],MATCH($A264,Data[Dist],0),MATCH(E$6,Data[#Headers],0))</f>
        <v>656971</v>
      </c>
      <c r="F264" s="164">
        <f>INDEX(Data[],MATCH($A264,Data[Dist],0),MATCH(F$6,Data[#Headers],0))</f>
        <v>656972</v>
      </c>
      <c r="G264" s="22">
        <f>INDEX(Data[],MATCH($A264,Data[Dist],0),MATCH(G$6,Data[#Headers],0))</f>
        <v>6587555</v>
      </c>
      <c r="H264" s="22">
        <f>INDEX(Data[],MATCH($A264,Data[Dist],0),MATCH(H$6,Data[#Headers],0))-G264</f>
        <v>0</v>
      </c>
      <c r="I264" s="25"/>
      <c r="J264" s="22">
        <f>INDEX(Notes!$I$2:$N$11,MATCH(Notes!$B$2,Notes!$I$2:$I$11,0),4)*$C264</f>
        <v>2645728</v>
      </c>
      <c r="K264" s="22">
        <f>INDEX(Notes!$I$2:$N$11,MATCH(Notes!$B$2,Notes!$I$2:$I$11,0),5)*$D264</f>
        <v>1313942</v>
      </c>
      <c r="L264" s="22">
        <f>INDEX(Notes!$I$2:$N$11,MATCH(Notes!$B$2,Notes!$I$2:$I$11,0),6)*$E264</f>
        <v>1970913</v>
      </c>
      <c r="M264" s="22">
        <f>IF(Notes!$B$2="June",'Payment Total'!$F264,0)</f>
        <v>656972</v>
      </c>
      <c r="N264" s="22">
        <f t="shared" ref="N264:N327" si="28">SUM(J264:M264)-G264</f>
        <v>0</v>
      </c>
      <c r="P264" s="26">
        <v>59490000</v>
      </c>
      <c r="Q264" s="26">
        <v>656972</v>
      </c>
      <c r="R264" s="21" t="str">
        <f t="shared" ref="R264:R327" si="29">TEXT(P264/10000,"0000")</f>
        <v>5949</v>
      </c>
      <c r="S264" s="44" t="str">
        <f t="shared" ref="S264:S327" si="30">IF(R264="1968","3582",IF(R264="5160","5319",IF(R264="5510","4824",IF(R264="6536","1935",IF(R264="6035","6048",IF(R264="5325","5323",IF(R264="6099","5157",R264)))))))</f>
        <v>5949</v>
      </c>
      <c r="T264" s="20">
        <f t="shared" ref="T264:T327" si="31">INDEX($A$7:$H$336,MATCH($S264,$A$7:$A$336,0),6)-Q264</f>
        <v>0</v>
      </c>
      <c r="V264" s="46" t="s">
        <v>1067</v>
      </c>
      <c r="W264" s="26">
        <v>432436</v>
      </c>
      <c r="X264" s="21" t="str">
        <f t="shared" ref="X264:X327" si="32">TEXT(V264/10000,"0000")</f>
        <v>5994</v>
      </c>
      <c r="Y264" s="44" t="str">
        <f t="shared" ref="Y264:Y327" si="33">IF(X264="1968","3582",IF(X264="5160","5319",IF(X264="5510","4824",IF(X264="6536","1935",IF(X264="6035","6048",IF(X264="5325","5323",IF(X264="6099","5157",X264)))))))</f>
        <v>5994</v>
      </c>
      <c r="Z264" s="45">
        <f t="shared" ref="Z264:Z327" si="34">INDEX($A$7:$H$336,MATCH($Y264,$A$7:$A$336,0),6)-W264</f>
        <v>0</v>
      </c>
    </row>
    <row r="265" spans="1:26" s="26" customFormat="1" ht="12.75" x14ac:dyDescent="0.2">
      <c r="A265" s="20" t="str">
        <f>Data!B260</f>
        <v>5976</v>
      </c>
      <c r="B265" s="21" t="str">
        <f>INDEX(Data[],MATCH($A265,Data[Dist],0),MATCH(B$6,Data[#Headers],0))</f>
        <v>Shenandoah</v>
      </c>
      <c r="C265" s="22">
        <f>INDEX(Data[],MATCH($A265,Data[Dist],0),MATCH(C$6,Data[#Headers],0))</f>
        <v>668312</v>
      </c>
      <c r="D265" s="164">
        <f>INDEX(Data[],MATCH($A265,Data[Dist],0),MATCH(D$6,Data[#Headers],0))</f>
        <v>663804</v>
      </c>
      <c r="E265" s="164">
        <f>INDEX(Data[],MATCH($A265,Data[Dist],0),MATCH(E$6,Data[#Headers],0))</f>
        <v>663804</v>
      </c>
      <c r="F265" s="164">
        <f>INDEX(Data[],MATCH($A265,Data[Dist],0),MATCH(F$6,Data[#Headers],0))</f>
        <v>663805</v>
      </c>
      <c r="G265" s="22">
        <f>INDEX(Data[],MATCH($A265,Data[Dist],0),MATCH(G$6,Data[#Headers],0))</f>
        <v>6656073</v>
      </c>
      <c r="H265" s="22">
        <f>INDEX(Data[],MATCH($A265,Data[Dist],0),MATCH(H$6,Data[#Headers],0))-G265</f>
        <v>0</v>
      </c>
      <c r="I265" s="25"/>
      <c r="J265" s="22">
        <f>INDEX(Notes!$I$2:$N$11,MATCH(Notes!$B$2,Notes!$I$2:$I$11,0),4)*$C265</f>
        <v>2673248</v>
      </c>
      <c r="K265" s="22">
        <f>INDEX(Notes!$I$2:$N$11,MATCH(Notes!$B$2,Notes!$I$2:$I$11,0),5)*$D265</f>
        <v>1327608</v>
      </c>
      <c r="L265" s="22">
        <f>INDEX(Notes!$I$2:$N$11,MATCH(Notes!$B$2,Notes!$I$2:$I$11,0),6)*$E265</f>
        <v>1991412</v>
      </c>
      <c r="M265" s="22">
        <f>IF(Notes!$B$2="June",'Payment Total'!$F265,0)</f>
        <v>663805</v>
      </c>
      <c r="N265" s="22">
        <f t="shared" si="28"/>
        <v>0</v>
      </c>
      <c r="P265" s="26">
        <v>59760000</v>
      </c>
      <c r="Q265" s="26">
        <v>663805</v>
      </c>
      <c r="R265" s="21" t="str">
        <f t="shared" si="29"/>
        <v>5976</v>
      </c>
      <c r="S265" s="44" t="str">
        <f t="shared" si="30"/>
        <v>5976</v>
      </c>
      <c r="T265" s="20">
        <f t="shared" si="31"/>
        <v>0</v>
      </c>
      <c r="V265" s="46" t="s">
        <v>1068</v>
      </c>
      <c r="W265" s="26">
        <v>249461</v>
      </c>
      <c r="X265" s="21" t="str">
        <f t="shared" si="32"/>
        <v>6003</v>
      </c>
      <c r="Y265" s="44" t="str">
        <f t="shared" si="33"/>
        <v>6003</v>
      </c>
      <c r="Z265" s="45">
        <f t="shared" si="34"/>
        <v>0</v>
      </c>
    </row>
    <row r="266" spans="1:26" s="26" customFormat="1" ht="12.75" x14ac:dyDescent="0.2">
      <c r="A266" s="20" t="str">
        <f>Data!B261</f>
        <v>5994</v>
      </c>
      <c r="B266" s="21" t="str">
        <f>INDEX(Data[],MATCH($A266,Data[Dist],0),MATCH(B$6,Data[#Headers],0))</f>
        <v>Sibley-Ocheyedan</v>
      </c>
      <c r="C266" s="22">
        <f>INDEX(Data[],MATCH($A266,Data[Dist],0),MATCH(C$6,Data[#Headers],0))</f>
        <v>435654</v>
      </c>
      <c r="D266" s="164">
        <f>INDEX(Data[],MATCH($A266,Data[Dist],0),MATCH(D$6,Data[#Headers],0))</f>
        <v>432437</v>
      </c>
      <c r="E266" s="164">
        <f>INDEX(Data[],MATCH($A266,Data[Dist],0),MATCH(E$6,Data[#Headers],0))</f>
        <v>432437</v>
      </c>
      <c r="F266" s="164">
        <f>INDEX(Data[],MATCH($A266,Data[Dist],0),MATCH(F$6,Data[#Headers],0))</f>
        <v>432436</v>
      </c>
      <c r="G266" s="22">
        <f>INDEX(Data[],MATCH($A266,Data[Dist],0),MATCH(G$6,Data[#Headers],0))</f>
        <v>4337237</v>
      </c>
      <c r="H266" s="22">
        <f>INDEX(Data[],MATCH($A266,Data[Dist],0),MATCH(H$6,Data[#Headers],0))-G266</f>
        <v>0</v>
      </c>
      <c r="I266" s="25"/>
      <c r="J266" s="22">
        <f>INDEX(Notes!$I$2:$N$11,MATCH(Notes!$B$2,Notes!$I$2:$I$11,0),4)*$C266</f>
        <v>1742616</v>
      </c>
      <c r="K266" s="22">
        <f>INDEX(Notes!$I$2:$N$11,MATCH(Notes!$B$2,Notes!$I$2:$I$11,0),5)*$D266</f>
        <v>864874</v>
      </c>
      <c r="L266" s="22">
        <f>INDEX(Notes!$I$2:$N$11,MATCH(Notes!$B$2,Notes!$I$2:$I$11,0),6)*$E266</f>
        <v>1297311</v>
      </c>
      <c r="M266" s="22">
        <f>IF(Notes!$B$2="June",'Payment Total'!$F266,0)</f>
        <v>432436</v>
      </c>
      <c r="N266" s="22">
        <f t="shared" si="28"/>
        <v>0</v>
      </c>
      <c r="P266" s="26">
        <v>59940000</v>
      </c>
      <c r="Q266" s="26">
        <v>432436</v>
      </c>
      <c r="R266" s="21" t="str">
        <f t="shared" si="29"/>
        <v>5994</v>
      </c>
      <c r="S266" s="44" t="str">
        <f t="shared" si="30"/>
        <v>5994</v>
      </c>
      <c r="T266" s="20">
        <f t="shared" si="31"/>
        <v>0</v>
      </c>
      <c r="V266" s="46" t="s">
        <v>1069</v>
      </c>
      <c r="W266" s="26">
        <v>343393</v>
      </c>
      <c r="X266" s="21" t="str">
        <f t="shared" si="32"/>
        <v>6012</v>
      </c>
      <c r="Y266" s="44" t="str">
        <f t="shared" si="33"/>
        <v>6012</v>
      </c>
      <c r="Z266" s="45">
        <f t="shared" si="34"/>
        <v>0</v>
      </c>
    </row>
    <row r="267" spans="1:26" s="26" customFormat="1" ht="12.75" x14ac:dyDescent="0.2">
      <c r="A267" s="20" t="str">
        <f>Data!B262</f>
        <v>6003</v>
      </c>
      <c r="B267" s="21" t="str">
        <f>INDEX(Data[],MATCH($A267,Data[Dist],0),MATCH(B$6,Data[#Headers],0))</f>
        <v>Sidney</v>
      </c>
      <c r="C267" s="22">
        <f>INDEX(Data[],MATCH($A267,Data[Dist],0),MATCH(C$6,Data[#Headers],0))</f>
        <v>251099</v>
      </c>
      <c r="D267" s="164">
        <f>INDEX(Data[],MATCH($A267,Data[Dist],0),MATCH(D$6,Data[#Headers],0))</f>
        <v>249461</v>
      </c>
      <c r="E267" s="164">
        <f>INDEX(Data[],MATCH($A267,Data[Dist],0),MATCH(E$6,Data[#Headers],0))</f>
        <v>249460</v>
      </c>
      <c r="F267" s="164">
        <f>INDEX(Data[],MATCH($A267,Data[Dist],0),MATCH(F$6,Data[#Headers],0))</f>
        <v>249461</v>
      </c>
      <c r="G267" s="22">
        <f>INDEX(Data[],MATCH($A267,Data[Dist],0),MATCH(G$6,Data[#Headers],0))</f>
        <v>2501159</v>
      </c>
      <c r="H267" s="22">
        <f>INDEX(Data[],MATCH($A267,Data[Dist],0),MATCH(H$6,Data[#Headers],0))-G267</f>
        <v>0</v>
      </c>
      <c r="I267" s="25"/>
      <c r="J267" s="22">
        <f>INDEX(Notes!$I$2:$N$11,MATCH(Notes!$B$2,Notes!$I$2:$I$11,0),4)*$C267</f>
        <v>1004396</v>
      </c>
      <c r="K267" s="22">
        <f>INDEX(Notes!$I$2:$N$11,MATCH(Notes!$B$2,Notes!$I$2:$I$11,0),5)*$D267</f>
        <v>498922</v>
      </c>
      <c r="L267" s="22">
        <f>INDEX(Notes!$I$2:$N$11,MATCH(Notes!$B$2,Notes!$I$2:$I$11,0),6)*$E267</f>
        <v>748380</v>
      </c>
      <c r="M267" s="22">
        <f>IF(Notes!$B$2="June",'Payment Total'!$F267,0)</f>
        <v>249461</v>
      </c>
      <c r="N267" s="22">
        <f t="shared" si="28"/>
        <v>0</v>
      </c>
      <c r="P267" s="26">
        <v>60030000</v>
      </c>
      <c r="Q267" s="26">
        <v>249461</v>
      </c>
      <c r="R267" s="21" t="str">
        <f t="shared" si="29"/>
        <v>6003</v>
      </c>
      <c r="S267" s="44" t="str">
        <f t="shared" si="30"/>
        <v>6003</v>
      </c>
      <c r="T267" s="20">
        <f t="shared" si="31"/>
        <v>0</v>
      </c>
      <c r="V267" s="46" t="s">
        <v>1070</v>
      </c>
      <c r="W267" s="26">
        <v>807065</v>
      </c>
      <c r="X267" s="21" t="str">
        <f t="shared" si="32"/>
        <v>6030</v>
      </c>
      <c r="Y267" s="44" t="str">
        <f t="shared" si="33"/>
        <v>6030</v>
      </c>
      <c r="Z267" s="45">
        <f t="shared" si="34"/>
        <v>0</v>
      </c>
    </row>
    <row r="268" spans="1:26" s="26" customFormat="1" ht="12.75" x14ac:dyDescent="0.2">
      <c r="A268" s="20" t="str">
        <f>Data!B263</f>
        <v>6012</v>
      </c>
      <c r="B268" s="21" t="str">
        <f>INDEX(Data[],MATCH($A268,Data[Dist],0),MATCH(B$6,Data[#Headers],0))</f>
        <v>Sigourney</v>
      </c>
      <c r="C268" s="22">
        <f>INDEX(Data[],MATCH($A268,Data[Dist],0),MATCH(C$6,Data[#Headers],0))</f>
        <v>345678</v>
      </c>
      <c r="D268" s="164">
        <f>INDEX(Data[],MATCH($A268,Data[Dist],0),MATCH(D$6,Data[#Headers],0))</f>
        <v>343395</v>
      </c>
      <c r="E268" s="164">
        <f>INDEX(Data[],MATCH($A268,Data[Dist],0),MATCH(E$6,Data[#Headers],0))</f>
        <v>343395</v>
      </c>
      <c r="F268" s="164">
        <f>INDEX(Data[],MATCH($A268,Data[Dist],0),MATCH(F$6,Data[#Headers],0))</f>
        <v>343393</v>
      </c>
      <c r="G268" s="22">
        <f>INDEX(Data[],MATCH($A268,Data[Dist],0),MATCH(G$6,Data[#Headers],0))</f>
        <v>3443080</v>
      </c>
      <c r="H268" s="22">
        <f>INDEX(Data[],MATCH($A268,Data[Dist],0),MATCH(H$6,Data[#Headers],0))-G268</f>
        <v>0</v>
      </c>
      <c r="I268" s="25"/>
      <c r="J268" s="22">
        <f>INDEX(Notes!$I$2:$N$11,MATCH(Notes!$B$2,Notes!$I$2:$I$11,0),4)*$C268</f>
        <v>1382712</v>
      </c>
      <c r="K268" s="22">
        <f>INDEX(Notes!$I$2:$N$11,MATCH(Notes!$B$2,Notes!$I$2:$I$11,0),5)*$D268</f>
        <v>686790</v>
      </c>
      <c r="L268" s="22">
        <f>INDEX(Notes!$I$2:$N$11,MATCH(Notes!$B$2,Notes!$I$2:$I$11,0),6)*$E268</f>
        <v>1030185</v>
      </c>
      <c r="M268" s="22">
        <f>IF(Notes!$B$2="June",'Payment Total'!$F268,0)</f>
        <v>343393</v>
      </c>
      <c r="N268" s="22">
        <f t="shared" si="28"/>
        <v>0</v>
      </c>
      <c r="P268" s="26">
        <v>60120000</v>
      </c>
      <c r="Q268" s="26">
        <v>343393</v>
      </c>
      <c r="R268" s="21" t="str">
        <f t="shared" si="29"/>
        <v>6012</v>
      </c>
      <c r="S268" s="44" t="str">
        <f t="shared" si="30"/>
        <v>6012</v>
      </c>
      <c r="T268" s="20">
        <f t="shared" si="31"/>
        <v>0</v>
      </c>
      <c r="V268" s="46" t="s">
        <v>1071</v>
      </c>
      <c r="W268" s="26">
        <v>255397</v>
      </c>
      <c r="X268" s="21" t="str">
        <f t="shared" si="32"/>
        <v>6035</v>
      </c>
      <c r="Y268" s="44" t="str">
        <f t="shared" si="33"/>
        <v>6048</v>
      </c>
      <c r="Z268" s="45">
        <f t="shared" si="34"/>
        <v>0</v>
      </c>
    </row>
    <row r="269" spans="1:26" s="26" customFormat="1" ht="12.75" x14ac:dyDescent="0.2">
      <c r="A269" s="20" t="str">
        <f>Data!B264</f>
        <v>6030</v>
      </c>
      <c r="B269" s="21" t="str">
        <f>INDEX(Data[],MATCH($A269,Data[Dist],0),MATCH(B$6,Data[#Headers],0))</f>
        <v>Sioux Center</v>
      </c>
      <c r="C269" s="22">
        <f>INDEX(Data[],MATCH($A269,Data[Dist],0),MATCH(C$6,Data[#Headers],0))</f>
        <v>812490</v>
      </c>
      <c r="D269" s="164">
        <f>INDEX(Data[],MATCH($A269,Data[Dist],0),MATCH(D$6,Data[#Headers],0))</f>
        <v>807067</v>
      </c>
      <c r="E269" s="164">
        <f>INDEX(Data[],MATCH($A269,Data[Dist],0),MATCH(E$6,Data[#Headers],0))</f>
        <v>807067</v>
      </c>
      <c r="F269" s="164">
        <f>INDEX(Data[],MATCH($A269,Data[Dist],0),MATCH(F$6,Data[#Headers],0))</f>
        <v>807065</v>
      </c>
      <c r="G269" s="22">
        <f>INDEX(Data[],MATCH($A269,Data[Dist],0),MATCH(G$6,Data[#Headers],0))</f>
        <v>8092360</v>
      </c>
      <c r="H269" s="22">
        <f>INDEX(Data[],MATCH($A269,Data[Dist],0),MATCH(H$6,Data[#Headers],0))-G269</f>
        <v>0</v>
      </c>
      <c r="I269" s="25"/>
      <c r="J269" s="22">
        <f>INDEX(Notes!$I$2:$N$11,MATCH(Notes!$B$2,Notes!$I$2:$I$11,0),4)*$C269</f>
        <v>3249960</v>
      </c>
      <c r="K269" s="22">
        <f>INDEX(Notes!$I$2:$N$11,MATCH(Notes!$B$2,Notes!$I$2:$I$11,0),5)*$D269</f>
        <v>1614134</v>
      </c>
      <c r="L269" s="22">
        <f>INDEX(Notes!$I$2:$N$11,MATCH(Notes!$B$2,Notes!$I$2:$I$11,0),6)*$E269</f>
        <v>2421201</v>
      </c>
      <c r="M269" s="22">
        <f>IF(Notes!$B$2="June",'Payment Total'!$F269,0)</f>
        <v>807065</v>
      </c>
      <c r="N269" s="22">
        <f t="shared" si="28"/>
        <v>0</v>
      </c>
      <c r="P269" s="26">
        <v>60300000</v>
      </c>
      <c r="Q269" s="26">
        <v>807065</v>
      </c>
      <c r="R269" s="21" t="str">
        <f t="shared" si="29"/>
        <v>6030</v>
      </c>
      <c r="S269" s="44" t="str">
        <f t="shared" si="30"/>
        <v>6030</v>
      </c>
      <c r="T269" s="20">
        <f t="shared" si="31"/>
        <v>0</v>
      </c>
      <c r="V269" s="46" t="s">
        <v>1072</v>
      </c>
      <c r="W269" s="26">
        <v>10928596</v>
      </c>
      <c r="X269" s="21" t="str">
        <f t="shared" si="32"/>
        <v>6039</v>
      </c>
      <c r="Y269" s="44" t="str">
        <f t="shared" si="33"/>
        <v>6039</v>
      </c>
      <c r="Z269" s="45">
        <f t="shared" si="34"/>
        <v>0</v>
      </c>
    </row>
    <row r="270" spans="1:26" s="26" customFormat="1" ht="12.75" x14ac:dyDescent="0.2">
      <c r="A270" s="20" t="str">
        <f>Data!B265</f>
        <v>6039</v>
      </c>
      <c r="B270" s="21" t="str">
        <f>INDEX(Data[],MATCH($A270,Data[Dist],0),MATCH(B$6,Data[#Headers],0))</f>
        <v>Sioux City</v>
      </c>
      <c r="C270" s="22">
        <f>INDEX(Data[],MATCH($A270,Data[Dist],0),MATCH(C$6,Data[#Headers],0))</f>
        <v>10989056</v>
      </c>
      <c r="D270" s="164">
        <f>INDEX(Data[],MATCH($A270,Data[Dist],0),MATCH(D$6,Data[#Headers],0))</f>
        <v>10928595</v>
      </c>
      <c r="E270" s="164">
        <f>INDEX(Data[],MATCH($A270,Data[Dist],0),MATCH(E$6,Data[#Headers],0))</f>
        <v>10928595</v>
      </c>
      <c r="F270" s="164">
        <f>INDEX(Data[],MATCH($A270,Data[Dist],0),MATCH(F$6,Data[#Headers],0))</f>
        <v>10928596</v>
      </c>
      <c r="G270" s="22">
        <f>INDEX(Data[],MATCH($A270,Data[Dist],0),MATCH(G$6,Data[#Headers],0))</f>
        <v>109527795</v>
      </c>
      <c r="H270" s="22">
        <f>INDEX(Data[],MATCH($A270,Data[Dist],0),MATCH(H$6,Data[#Headers],0))-G270</f>
        <v>0</v>
      </c>
      <c r="I270" s="25"/>
      <c r="J270" s="22">
        <f>INDEX(Notes!$I$2:$N$11,MATCH(Notes!$B$2,Notes!$I$2:$I$11,0),4)*$C270</f>
        <v>43956224</v>
      </c>
      <c r="K270" s="22">
        <f>INDEX(Notes!$I$2:$N$11,MATCH(Notes!$B$2,Notes!$I$2:$I$11,0),5)*$D270</f>
        <v>21857190</v>
      </c>
      <c r="L270" s="22">
        <f>INDEX(Notes!$I$2:$N$11,MATCH(Notes!$B$2,Notes!$I$2:$I$11,0),6)*$E270</f>
        <v>32785785</v>
      </c>
      <c r="M270" s="22">
        <f>IF(Notes!$B$2="June",'Payment Total'!$F270,0)</f>
        <v>10928596</v>
      </c>
      <c r="N270" s="22">
        <f t="shared" si="28"/>
        <v>0</v>
      </c>
      <c r="P270" s="26">
        <v>60390000</v>
      </c>
      <c r="Q270" s="26">
        <v>10928596</v>
      </c>
      <c r="R270" s="21" t="str">
        <f t="shared" si="29"/>
        <v>6039</v>
      </c>
      <c r="S270" s="44" t="str">
        <f t="shared" si="30"/>
        <v>6039</v>
      </c>
      <c r="T270" s="20">
        <f t="shared" si="31"/>
        <v>0</v>
      </c>
      <c r="V270" s="46" t="s">
        <v>1074</v>
      </c>
      <c r="W270" s="26">
        <v>465251</v>
      </c>
      <c r="X270" s="21" t="str">
        <f t="shared" si="32"/>
        <v>6091</v>
      </c>
      <c r="Y270" s="44" t="str">
        <f t="shared" si="33"/>
        <v>6091</v>
      </c>
      <c r="Z270" s="45">
        <f t="shared" si="34"/>
        <v>0</v>
      </c>
    </row>
    <row r="271" spans="1:26" s="26" customFormat="1" ht="12.75" x14ac:dyDescent="0.2">
      <c r="A271" s="20" t="str">
        <f>Data!B266</f>
        <v>6048</v>
      </c>
      <c r="B271" s="21" t="str">
        <f>INDEX(Data[],MATCH($A271,Data[Dist],0),MATCH(B$6,Data[#Headers],0))</f>
        <v>Sioux Central</v>
      </c>
      <c r="C271" s="22">
        <f>INDEX(Data[],MATCH($A271,Data[Dist],0),MATCH(C$6,Data[#Headers],0))</f>
        <v>259285</v>
      </c>
      <c r="D271" s="164">
        <f>INDEX(Data[],MATCH($A271,Data[Dist],0),MATCH(D$6,Data[#Headers],0))</f>
        <v>257241</v>
      </c>
      <c r="E271" s="164">
        <f>INDEX(Data[],MATCH($A271,Data[Dist],0),MATCH(E$6,Data[#Headers],0))</f>
        <v>255396</v>
      </c>
      <c r="F271" s="164">
        <f>INDEX(Data[],MATCH($A271,Data[Dist],0),MATCH(F$6,Data[#Headers],0))</f>
        <v>255397</v>
      </c>
      <c r="G271" s="22">
        <f>INDEX(Data[],MATCH($A271,Data[Dist],0),MATCH(G$6,Data[#Headers],0))</f>
        <v>2573207</v>
      </c>
      <c r="H271" s="22">
        <f>INDEX(Data[],MATCH($A271,Data[Dist],0),MATCH(H$6,Data[#Headers],0))-G271</f>
        <v>0</v>
      </c>
      <c r="I271" s="25"/>
      <c r="J271" s="22">
        <f>INDEX(Notes!$I$2:$N$11,MATCH(Notes!$B$2,Notes!$I$2:$I$11,0),4)*$C271</f>
        <v>1037140</v>
      </c>
      <c r="K271" s="22">
        <f>INDEX(Notes!$I$2:$N$11,MATCH(Notes!$B$2,Notes!$I$2:$I$11,0),5)*$D271</f>
        <v>514482</v>
      </c>
      <c r="L271" s="22">
        <f>INDEX(Notes!$I$2:$N$11,MATCH(Notes!$B$2,Notes!$I$2:$I$11,0),6)*$E271</f>
        <v>766188</v>
      </c>
      <c r="M271" s="22">
        <f>IF(Notes!$B$2="June",'Payment Total'!$F271,0)</f>
        <v>255397</v>
      </c>
      <c r="N271" s="22">
        <f t="shared" si="28"/>
        <v>0</v>
      </c>
      <c r="P271" s="26">
        <v>60350000</v>
      </c>
      <c r="Q271" s="26">
        <v>255397</v>
      </c>
      <c r="R271" s="21" t="str">
        <f t="shared" si="29"/>
        <v>6035</v>
      </c>
      <c r="S271" s="44" t="str">
        <f t="shared" si="30"/>
        <v>6048</v>
      </c>
      <c r="T271" s="20">
        <f t="shared" si="31"/>
        <v>0</v>
      </c>
      <c r="V271" s="46" t="s">
        <v>1073</v>
      </c>
      <c r="W271" s="26">
        <v>747883</v>
      </c>
      <c r="X271" s="21" t="str">
        <f t="shared" si="32"/>
        <v>6093</v>
      </c>
      <c r="Y271" s="44" t="str">
        <f t="shared" si="33"/>
        <v>6093</v>
      </c>
      <c r="Z271" s="45">
        <f t="shared" si="34"/>
        <v>0</v>
      </c>
    </row>
    <row r="272" spans="1:26" s="26" customFormat="1" ht="12.75" x14ac:dyDescent="0.2">
      <c r="A272" s="20" t="str">
        <f>Data!B267</f>
        <v>6091</v>
      </c>
      <c r="B272" s="21" t="str">
        <f>INDEX(Data[],MATCH($A272,Data[Dist],0),MATCH(B$6,Data[#Headers],0))</f>
        <v>South Central Calhoun</v>
      </c>
      <c r="C272" s="22">
        <f>INDEX(Data[],MATCH($A272,Data[Dist],0),MATCH(C$6,Data[#Headers],0))</f>
        <v>468991</v>
      </c>
      <c r="D272" s="164">
        <f>INDEX(Data[],MATCH($A272,Data[Dist],0),MATCH(D$6,Data[#Headers],0))</f>
        <v>465252</v>
      </c>
      <c r="E272" s="164">
        <f>INDEX(Data[],MATCH($A272,Data[Dist],0),MATCH(E$6,Data[#Headers],0))</f>
        <v>465253</v>
      </c>
      <c r="F272" s="164">
        <f>INDEX(Data[],MATCH($A272,Data[Dist],0),MATCH(F$6,Data[#Headers],0))</f>
        <v>465251</v>
      </c>
      <c r="G272" s="22">
        <f>INDEX(Data[],MATCH($A272,Data[Dist],0),MATCH(G$6,Data[#Headers],0))</f>
        <v>4667478</v>
      </c>
      <c r="H272" s="22">
        <f>INDEX(Data[],MATCH($A272,Data[Dist],0),MATCH(H$6,Data[#Headers],0))-G272</f>
        <v>0</v>
      </c>
      <c r="I272" s="25"/>
      <c r="J272" s="22">
        <f>INDEX(Notes!$I$2:$N$11,MATCH(Notes!$B$2,Notes!$I$2:$I$11,0),4)*$C272</f>
        <v>1875964</v>
      </c>
      <c r="K272" s="22">
        <f>INDEX(Notes!$I$2:$N$11,MATCH(Notes!$B$2,Notes!$I$2:$I$11,0),5)*$D272</f>
        <v>930504</v>
      </c>
      <c r="L272" s="22">
        <f>INDEX(Notes!$I$2:$N$11,MATCH(Notes!$B$2,Notes!$I$2:$I$11,0),6)*$E272</f>
        <v>1395759</v>
      </c>
      <c r="M272" s="22">
        <f>IF(Notes!$B$2="June",'Payment Total'!$F272,0)</f>
        <v>465251</v>
      </c>
      <c r="N272" s="22">
        <f t="shared" si="28"/>
        <v>0</v>
      </c>
      <c r="P272" s="26">
        <v>60910000</v>
      </c>
      <c r="Q272" s="26">
        <v>465251</v>
      </c>
      <c r="R272" s="21" t="str">
        <f t="shared" si="29"/>
        <v>6091</v>
      </c>
      <c r="S272" s="44" t="str">
        <f t="shared" si="30"/>
        <v>6091</v>
      </c>
      <c r="T272" s="20">
        <f t="shared" si="31"/>
        <v>0</v>
      </c>
      <c r="V272" s="46" t="s">
        <v>1081</v>
      </c>
      <c r="W272" s="26">
        <v>364023</v>
      </c>
      <c r="X272" s="21" t="str">
        <f t="shared" si="32"/>
        <v>6094</v>
      </c>
      <c r="Y272" s="44" t="str">
        <f t="shared" si="33"/>
        <v>6094</v>
      </c>
      <c r="Z272" s="45">
        <f t="shared" si="34"/>
        <v>0</v>
      </c>
    </row>
    <row r="273" spans="1:26" s="26" customFormat="1" ht="12.75" x14ac:dyDescent="0.2">
      <c r="A273" s="20" t="str">
        <f>Data!B268</f>
        <v>6093</v>
      </c>
      <c r="B273" s="21" t="str">
        <f>INDEX(Data[],MATCH($A273,Data[Dist],0),MATCH(B$6,Data[#Headers],0))</f>
        <v>Solon</v>
      </c>
      <c r="C273" s="22">
        <f>INDEX(Data[],MATCH($A273,Data[Dist],0),MATCH(C$6,Data[#Headers],0))</f>
        <v>753511</v>
      </c>
      <c r="D273" s="164">
        <f>INDEX(Data[],MATCH($A273,Data[Dist],0),MATCH(D$6,Data[#Headers],0))</f>
        <v>747883</v>
      </c>
      <c r="E273" s="164">
        <f>INDEX(Data[],MATCH($A273,Data[Dist],0),MATCH(E$6,Data[#Headers],0))</f>
        <v>747882</v>
      </c>
      <c r="F273" s="164">
        <f>INDEX(Data[],MATCH($A273,Data[Dist],0),MATCH(F$6,Data[#Headers],0))</f>
        <v>747883</v>
      </c>
      <c r="G273" s="22">
        <f>INDEX(Data[],MATCH($A273,Data[Dist],0),MATCH(G$6,Data[#Headers],0))</f>
        <v>7501339</v>
      </c>
      <c r="H273" s="22">
        <f>INDEX(Data[],MATCH($A273,Data[Dist],0),MATCH(H$6,Data[#Headers],0))-G273</f>
        <v>0</v>
      </c>
      <c r="I273" s="25"/>
      <c r="J273" s="22">
        <f>INDEX(Notes!$I$2:$N$11,MATCH(Notes!$B$2,Notes!$I$2:$I$11,0),4)*$C273</f>
        <v>3014044</v>
      </c>
      <c r="K273" s="22">
        <f>INDEX(Notes!$I$2:$N$11,MATCH(Notes!$B$2,Notes!$I$2:$I$11,0),5)*$D273</f>
        <v>1495766</v>
      </c>
      <c r="L273" s="22">
        <f>INDEX(Notes!$I$2:$N$11,MATCH(Notes!$B$2,Notes!$I$2:$I$11,0),6)*$E273</f>
        <v>2243646</v>
      </c>
      <c r="M273" s="22">
        <f>IF(Notes!$B$2="June",'Payment Total'!$F273,0)</f>
        <v>747883</v>
      </c>
      <c r="N273" s="22">
        <f t="shared" si="28"/>
        <v>0</v>
      </c>
      <c r="P273" s="26">
        <v>60930000</v>
      </c>
      <c r="Q273" s="26">
        <v>747883</v>
      </c>
      <c r="R273" s="21" t="str">
        <f t="shared" si="29"/>
        <v>6093</v>
      </c>
      <c r="S273" s="44" t="str">
        <f t="shared" si="30"/>
        <v>6093</v>
      </c>
      <c r="T273" s="20">
        <f t="shared" si="31"/>
        <v>0</v>
      </c>
      <c r="V273" s="46" t="s">
        <v>1075</v>
      </c>
      <c r="W273" s="26">
        <v>342853</v>
      </c>
      <c r="X273" s="21" t="str">
        <f t="shared" si="32"/>
        <v>6095</v>
      </c>
      <c r="Y273" s="44" t="str">
        <f t="shared" si="33"/>
        <v>6095</v>
      </c>
      <c r="Z273" s="45">
        <f t="shared" si="34"/>
        <v>0</v>
      </c>
    </row>
    <row r="274" spans="1:26" s="26" customFormat="1" ht="12.75" x14ac:dyDescent="0.2">
      <c r="A274" s="20" t="str">
        <f>Data!B269</f>
        <v>6094</v>
      </c>
      <c r="B274" s="21" t="str">
        <f>INDEX(Data[],MATCH($A274,Data[Dist],0),MATCH(B$6,Data[#Headers],0))</f>
        <v>Southeast Warren</v>
      </c>
      <c r="C274" s="22">
        <f>INDEX(Data[],MATCH($A274,Data[Dist],0),MATCH(C$6,Data[#Headers],0))</f>
        <v>366325</v>
      </c>
      <c r="D274" s="164">
        <f>INDEX(Data[],MATCH($A274,Data[Dist],0),MATCH(D$6,Data[#Headers],0))</f>
        <v>364024</v>
      </c>
      <c r="E274" s="164">
        <f>INDEX(Data[],MATCH($A274,Data[Dist],0),MATCH(E$6,Data[#Headers],0))</f>
        <v>364025</v>
      </c>
      <c r="F274" s="164">
        <f>INDEX(Data[],MATCH($A274,Data[Dist],0),MATCH(F$6,Data[#Headers],0))</f>
        <v>364023</v>
      </c>
      <c r="G274" s="22">
        <f>INDEX(Data[],MATCH($A274,Data[Dist],0),MATCH(G$6,Data[#Headers],0))</f>
        <v>3649446</v>
      </c>
      <c r="H274" s="22">
        <f>INDEX(Data[],MATCH($A274,Data[Dist],0),MATCH(H$6,Data[#Headers],0))-G274</f>
        <v>0</v>
      </c>
      <c r="I274" s="25"/>
      <c r="J274" s="22">
        <f>INDEX(Notes!$I$2:$N$11,MATCH(Notes!$B$2,Notes!$I$2:$I$11,0),4)*$C274</f>
        <v>1465300</v>
      </c>
      <c r="K274" s="22">
        <f>INDEX(Notes!$I$2:$N$11,MATCH(Notes!$B$2,Notes!$I$2:$I$11,0),5)*$D274</f>
        <v>728048</v>
      </c>
      <c r="L274" s="22">
        <f>INDEX(Notes!$I$2:$N$11,MATCH(Notes!$B$2,Notes!$I$2:$I$11,0),6)*$E274</f>
        <v>1092075</v>
      </c>
      <c r="M274" s="22">
        <f>IF(Notes!$B$2="June",'Payment Total'!$F274,0)</f>
        <v>364023</v>
      </c>
      <c r="N274" s="22">
        <f t="shared" si="28"/>
        <v>0</v>
      </c>
      <c r="P274" s="26">
        <v>60940000</v>
      </c>
      <c r="Q274" s="26">
        <v>364023</v>
      </c>
      <c r="R274" s="21" t="str">
        <f t="shared" si="29"/>
        <v>6094</v>
      </c>
      <c r="S274" s="44" t="str">
        <f t="shared" si="30"/>
        <v>6094</v>
      </c>
      <c r="T274" s="20">
        <f t="shared" si="31"/>
        <v>0</v>
      </c>
      <c r="V274" s="46" t="s">
        <v>1082</v>
      </c>
      <c r="W274" s="26">
        <v>337315</v>
      </c>
      <c r="X274" s="21" t="str">
        <f t="shared" si="32"/>
        <v>6096</v>
      </c>
      <c r="Y274" s="44" t="str">
        <f t="shared" si="33"/>
        <v>6096</v>
      </c>
      <c r="Z274" s="45">
        <f t="shared" si="34"/>
        <v>0</v>
      </c>
    </row>
    <row r="275" spans="1:26" s="26" customFormat="1" ht="12.75" x14ac:dyDescent="0.2">
      <c r="A275" s="20" t="str">
        <f>Data!B270</f>
        <v>6095</v>
      </c>
      <c r="B275" s="21" t="str">
        <f>INDEX(Data[],MATCH($A275,Data[Dist],0),MATCH(B$6,Data[#Headers],0))</f>
        <v>South Hamilton</v>
      </c>
      <c r="C275" s="22">
        <f>INDEX(Data[],MATCH($A275,Data[Dist],0),MATCH(C$6,Data[#Headers],0))</f>
        <v>345507</v>
      </c>
      <c r="D275" s="164">
        <f>INDEX(Data[],MATCH($A275,Data[Dist],0),MATCH(D$6,Data[#Headers],0))</f>
        <v>342854</v>
      </c>
      <c r="E275" s="164">
        <f>INDEX(Data[],MATCH($A275,Data[Dist],0),MATCH(E$6,Data[#Headers],0))</f>
        <v>342855</v>
      </c>
      <c r="F275" s="164">
        <f>INDEX(Data[],MATCH($A275,Data[Dist],0),MATCH(F$6,Data[#Headers],0))</f>
        <v>342853</v>
      </c>
      <c r="G275" s="22">
        <f>INDEX(Data[],MATCH($A275,Data[Dist],0),MATCH(G$6,Data[#Headers],0))</f>
        <v>3439154</v>
      </c>
      <c r="H275" s="22">
        <f>INDEX(Data[],MATCH($A275,Data[Dist],0),MATCH(H$6,Data[#Headers],0))-G275</f>
        <v>0</v>
      </c>
      <c r="I275" s="25"/>
      <c r="J275" s="22">
        <f>INDEX(Notes!$I$2:$N$11,MATCH(Notes!$B$2,Notes!$I$2:$I$11,0),4)*$C275</f>
        <v>1382028</v>
      </c>
      <c r="K275" s="22">
        <f>INDEX(Notes!$I$2:$N$11,MATCH(Notes!$B$2,Notes!$I$2:$I$11,0),5)*$D275</f>
        <v>685708</v>
      </c>
      <c r="L275" s="22">
        <f>INDEX(Notes!$I$2:$N$11,MATCH(Notes!$B$2,Notes!$I$2:$I$11,0),6)*$E275</f>
        <v>1028565</v>
      </c>
      <c r="M275" s="22">
        <f>IF(Notes!$B$2="June",'Payment Total'!$F275,0)</f>
        <v>342853</v>
      </c>
      <c r="N275" s="22">
        <f t="shared" si="28"/>
        <v>0</v>
      </c>
      <c r="P275" s="26">
        <v>60950000</v>
      </c>
      <c r="Q275" s="26">
        <v>342853</v>
      </c>
      <c r="R275" s="21" t="str">
        <f t="shared" si="29"/>
        <v>6095</v>
      </c>
      <c r="S275" s="44" t="str">
        <f t="shared" si="30"/>
        <v>6095</v>
      </c>
      <c r="T275" s="20">
        <f t="shared" si="31"/>
        <v>0</v>
      </c>
      <c r="V275" s="46" t="s">
        <v>1077</v>
      </c>
      <c r="W275" s="26">
        <v>122856</v>
      </c>
      <c r="X275" s="21" t="str">
        <f t="shared" si="32"/>
        <v>6097</v>
      </c>
      <c r="Y275" s="44" t="str">
        <f t="shared" si="33"/>
        <v>6097</v>
      </c>
      <c r="Z275" s="45">
        <f t="shared" si="34"/>
        <v>0</v>
      </c>
    </row>
    <row r="276" spans="1:26" s="26" customFormat="1" ht="12.75" x14ac:dyDescent="0.2">
      <c r="A276" s="20" t="str">
        <f>Data!B271</f>
        <v>6096</v>
      </c>
      <c r="B276" s="21" t="str">
        <f>INDEX(Data[],MATCH($A276,Data[Dist],0),MATCH(B$6,Data[#Headers],0))</f>
        <v>Southeast Webster-Grand</v>
      </c>
      <c r="C276" s="22">
        <f>INDEX(Data[],MATCH($A276,Data[Dist],0),MATCH(C$6,Data[#Headers],0))</f>
        <v>339607</v>
      </c>
      <c r="D276" s="164">
        <f>INDEX(Data[],MATCH($A276,Data[Dist],0),MATCH(D$6,Data[#Headers],0))</f>
        <v>337317</v>
      </c>
      <c r="E276" s="164">
        <f>INDEX(Data[],MATCH($A276,Data[Dist],0),MATCH(E$6,Data[#Headers],0))</f>
        <v>337317</v>
      </c>
      <c r="F276" s="164">
        <f>INDEX(Data[],MATCH($A276,Data[Dist],0),MATCH(F$6,Data[#Headers],0))</f>
        <v>337315</v>
      </c>
      <c r="G276" s="22">
        <f>INDEX(Data[],MATCH($A276,Data[Dist],0),MATCH(G$6,Data[#Headers],0))</f>
        <v>3382328</v>
      </c>
      <c r="H276" s="22">
        <f>INDEX(Data[],MATCH($A276,Data[Dist],0),MATCH(H$6,Data[#Headers],0))-G276</f>
        <v>0</v>
      </c>
      <c r="I276" s="25"/>
      <c r="J276" s="22">
        <f>INDEX(Notes!$I$2:$N$11,MATCH(Notes!$B$2,Notes!$I$2:$I$11,0),4)*$C276</f>
        <v>1358428</v>
      </c>
      <c r="K276" s="22">
        <f>INDEX(Notes!$I$2:$N$11,MATCH(Notes!$B$2,Notes!$I$2:$I$11,0),5)*$D276</f>
        <v>674634</v>
      </c>
      <c r="L276" s="22">
        <f>INDEX(Notes!$I$2:$N$11,MATCH(Notes!$B$2,Notes!$I$2:$I$11,0),6)*$E276</f>
        <v>1011951</v>
      </c>
      <c r="M276" s="22">
        <f>IF(Notes!$B$2="June",'Payment Total'!$F276,0)</f>
        <v>337315</v>
      </c>
      <c r="N276" s="22">
        <f t="shared" si="28"/>
        <v>0</v>
      </c>
      <c r="P276" s="26">
        <v>60960000</v>
      </c>
      <c r="Q276" s="26">
        <v>337315</v>
      </c>
      <c r="R276" s="21" t="str">
        <f t="shared" si="29"/>
        <v>6096</v>
      </c>
      <c r="S276" s="44" t="str">
        <f t="shared" si="30"/>
        <v>6096</v>
      </c>
      <c r="T276" s="20">
        <f t="shared" si="31"/>
        <v>0</v>
      </c>
      <c r="V276" s="46" t="s">
        <v>1078</v>
      </c>
      <c r="W276" s="26">
        <v>1087483</v>
      </c>
      <c r="X276" s="21" t="str">
        <f t="shared" si="32"/>
        <v>6098</v>
      </c>
      <c r="Y276" s="44" t="str">
        <f t="shared" si="33"/>
        <v>6098</v>
      </c>
      <c r="Z276" s="45">
        <f t="shared" si="34"/>
        <v>0</v>
      </c>
    </row>
    <row r="277" spans="1:26" s="26" customFormat="1" ht="12.75" x14ac:dyDescent="0.2">
      <c r="A277" s="20" t="str">
        <f>Data!B272</f>
        <v>6097</v>
      </c>
      <c r="B277" s="21" t="str">
        <f>INDEX(Data[],MATCH($A277,Data[Dist],0),MATCH(B$6,Data[#Headers],0))</f>
        <v>South Page</v>
      </c>
      <c r="C277" s="22">
        <f>INDEX(Data[],MATCH($A277,Data[Dist],0),MATCH(C$6,Data[#Headers],0))</f>
        <v>123719</v>
      </c>
      <c r="D277" s="164">
        <f>INDEX(Data[],MATCH($A277,Data[Dist],0),MATCH(D$6,Data[#Headers],0))</f>
        <v>122856</v>
      </c>
      <c r="E277" s="164">
        <f>INDEX(Data[],MATCH($A277,Data[Dist],0),MATCH(E$6,Data[#Headers],0))</f>
        <v>122856</v>
      </c>
      <c r="F277" s="164">
        <f>INDEX(Data[],MATCH($A277,Data[Dist],0),MATCH(F$6,Data[#Headers],0))</f>
        <v>122856</v>
      </c>
      <c r="G277" s="22">
        <f>INDEX(Data[],MATCH($A277,Data[Dist],0),MATCH(G$6,Data[#Headers],0))</f>
        <v>1232012</v>
      </c>
      <c r="H277" s="22">
        <f>INDEX(Data[],MATCH($A277,Data[Dist],0),MATCH(H$6,Data[#Headers],0))-G277</f>
        <v>0</v>
      </c>
      <c r="I277" s="25"/>
      <c r="J277" s="22">
        <f>INDEX(Notes!$I$2:$N$11,MATCH(Notes!$B$2,Notes!$I$2:$I$11,0),4)*$C277</f>
        <v>494876</v>
      </c>
      <c r="K277" s="22">
        <f>INDEX(Notes!$I$2:$N$11,MATCH(Notes!$B$2,Notes!$I$2:$I$11,0),5)*$D277</f>
        <v>245712</v>
      </c>
      <c r="L277" s="22">
        <f>INDEX(Notes!$I$2:$N$11,MATCH(Notes!$B$2,Notes!$I$2:$I$11,0),6)*$E277</f>
        <v>368568</v>
      </c>
      <c r="M277" s="22">
        <f>IF(Notes!$B$2="June",'Payment Total'!$F277,0)</f>
        <v>122856</v>
      </c>
      <c r="N277" s="22">
        <f t="shared" si="28"/>
        <v>0</v>
      </c>
      <c r="P277" s="26">
        <v>60970000</v>
      </c>
      <c r="Q277" s="26">
        <v>122856</v>
      </c>
      <c r="R277" s="21" t="str">
        <f t="shared" si="29"/>
        <v>6097</v>
      </c>
      <c r="S277" s="44" t="str">
        <f t="shared" si="30"/>
        <v>6097</v>
      </c>
      <c r="T277" s="20">
        <f t="shared" si="31"/>
        <v>0</v>
      </c>
      <c r="V277" s="46" t="s">
        <v>1076</v>
      </c>
      <c r="W277" s="26">
        <v>254540</v>
      </c>
      <c r="X277" s="21" t="str">
        <f t="shared" si="32"/>
        <v>6099</v>
      </c>
      <c r="Y277" s="44" t="str">
        <f t="shared" si="33"/>
        <v>5157</v>
      </c>
      <c r="Z277" s="45">
        <f t="shared" si="34"/>
        <v>0</v>
      </c>
    </row>
    <row r="278" spans="1:26" s="26" customFormat="1" ht="12.75" x14ac:dyDescent="0.2">
      <c r="A278" s="20" t="str">
        <f>Data!B273</f>
        <v>6098</v>
      </c>
      <c r="B278" s="21" t="str">
        <f>INDEX(Data[],MATCH($A278,Data[Dist],0),MATCH(B$6,Data[#Headers],0))</f>
        <v>South Tama</v>
      </c>
      <c r="C278" s="22">
        <f>INDEX(Data[],MATCH($A278,Data[Dist],0),MATCH(C$6,Data[#Headers],0))</f>
        <v>1093898</v>
      </c>
      <c r="D278" s="164">
        <f>INDEX(Data[],MATCH($A278,Data[Dist],0),MATCH(D$6,Data[#Headers],0))</f>
        <v>1087483</v>
      </c>
      <c r="E278" s="164">
        <f>INDEX(Data[],MATCH($A278,Data[Dist],0),MATCH(E$6,Data[#Headers],0))</f>
        <v>1087482</v>
      </c>
      <c r="F278" s="164">
        <f>INDEX(Data[],MATCH($A278,Data[Dist],0),MATCH(F$6,Data[#Headers],0))</f>
        <v>1087483</v>
      </c>
      <c r="G278" s="22">
        <f>INDEX(Data[],MATCH($A278,Data[Dist],0),MATCH(G$6,Data[#Headers],0))</f>
        <v>10900487</v>
      </c>
      <c r="H278" s="22">
        <f>INDEX(Data[],MATCH($A278,Data[Dist],0),MATCH(H$6,Data[#Headers],0))-G278</f>
        <v>0</v>
      </c>
      <c r="I278" s="25"/>
      <c r="J278" s="22">
        <f>INDEX(Notes!$I$2:$N$11,MATCH(Notes!$B$2,Notes!$I$2:$I$11,0),4)*$C278</f>
        <v>4375592</v>
      </c>
      <c r="K278" s="22">
        <f>INDEX(Notes!$I$2:$N$11,MATCH(Notes!$B$2,Notes!$I$2:$I$11,0),5)*$D278</f>
        <v>2174966</v>
      </c>
      <c r="L278" s="22">
        <f>INDEX(Notes!$I$2:$N$11,MATCH(Notes!$B$2,Notes!$I$2:$I$11,0),6)*$E278</f>
        <v>3262446</v>
      </c>
      <c r="M278" s="22">
        <f>IF(Notes!$B$2="June",'Payment Total'!$F278,0)</f>
        <v>1087483</v>
      </c>
      <c r="N278" s="22">
        <f t="shared" si="28"/>
        <v>0</v>
      </c>
      <c r="P278" s="26">
        <v>60980000</v>
      </c>
      <c r="Q278" s="26">
        <v>1087483</v>
      </c>
      <c r="R278" s="21" t="str">
        <f t="shared" si="29"/>
        <v>6098</v>
      </c>
      <c r="S278" s="44" t="str">
        <f t="shared" si="30"/>
        <v>6098</v>
      </c>
      <c r="T278" s="20">
        <f t="shared" si="31"/>
        <v>0</v>
      </c>
      <c r="V278" s="46" t="s">
        <v>1079</v>
      </c>
      <c r="W278" s="26">
        <v>279902</v>
      </c>
      <c r="X278" s="21" t="str">
        <f t="shared" si="32"/>
        <v>6100</v>
      </c>
      <c r="Y278" s="44" t="str">
        <f t="shared" si="33"/>
        <v>6100</v>
      </c>
      <c r="Z278" s="45">
        <f t="shared" si="34"/>
        <v>0</v>
      </c>
    </row>
    <row r="279" spans="1:26" s="26" customFormat="1" ht="12.75" x14ac:dyDescent="0.2">
      <c r="A279" s="20" t="str">
        <f>Data!B274</f>
        <v>6100</v>
      </c>
      <c r="B279" s="21" t="str">
        <f>INDEX(Data[],MATCH($A279,Data[Dist],0),MATCH(B$6,Data[#Headers],0))</f>
        <v>South Winneshiek</v>
      </c>
      <c r="C279" s="22">
        <f>INDEX(Data[],MATCH($A279,Data[Dist],0),MATCH(C$6,Data[#Headers],0))</f>
        <v>281971</v>
      </c>
      <c r="D279" s="164">
        <f>INDEX(Data[],MATCH($A279,Data[Dist],0),MATCH(D$6,Data[#Headers],0))</f>
        <v>279901</v>
      </c>
      <c r="E279" s="164">
        <f>INDEX(Data[],MATCH($A279,Data[Dist],0),MATCH(E$6,Data[#Headers],0))</f>
        <v>279901</v>
      </c>
      <c r="F279" s="164">
        <f>INDEX(Data[],MATCH($A279,Data[Dist],0),MATCH(F$6,Data[#Headers],0))</f>
        <v>279902</v>
      </c>
      <c r="G279" s="22">
        <f>INDEX(Data[],MATCH($A279,Data[Dist],0),MATCH(G$6,Data[#Headers],0))</f>
        <v>2807291</v>
      </c>
      <c r="H279" s="22">
        <f>INDEX(Data[],MATCH($A279,Data[Dist],0),MATCH(H$6,Data[#Headers],0))-G279</f>
        <v>0</v>
      </c>
      <c r="I279" s="25"/>
      <c r="J279" s="22">
        <f>INDEX(Notes!$I$2:$N$11,MATCH(Notes!$B$2,Notes!$I$2:$I$11,0),4)*$C279</f>
        <v>1127884</v>
      </c>
      <c r="K279" s="22">
        <f>INDEX(Notes!$I$2:$N$11,MATCH(Notes!$B$2,Notes!$I$2:$I$11,0),5)*$D279</f>
        <v>559802</v>
      </c>
      <c r="L279" s="22">
        <f>INDEX(Notes!$I$2:$N$11,MATCH(Notes!$B$2,Notes!$I$2:$I$11,0),6)*$E279</f>
        <v>839703</v>
      </c>
      <c r="M279" s="22">
        <f>IF(Notes!$B$2="June",'Payment Total'!$F279,0)</f>
        <v>279902</v>
      </c>
      <c r="N279" s="22">
        <f t="shared" si="28"/>
        <v>0</v>
      </c>
      <c r="P279" s="26">
        <v>61000000</v>
      </c>
      <c r="Q279" s="26">
        <v>279902</v>
      </c>
      <c r="R279" s="21" t="str">
        <f t="shared" si="29"/>
        <v>6100</v>
      </c>
      <c r="S279" s="44" t="str">
        <f t="shared" si="30"/>
        <v>6100</v>
      </c>
      <c r="T279" s="20">
        <f t="shared" si="31"/>
        <v>0</v>
      </c>
      <c r="V279" s="46" t="s">
        <v>1080</v>
      </c>
      <c r="W279" s="26">
        <v>4260957</v>
      </c>
      <c r="X279" s="21" t="str">
        <f t="shared" si="32"/>
        <v>6101</v>
      </c>
      <c r="Y279" s="44" t="str">
        <f t="shared" si="33"/>
        <v>6101</v>
      </c>
      <c r="Z279" s="45">
        <f t="shared" si="34"/>
        <v>0</v>
      </c>
    </row>
    <row r="280" spans="1:26" s="26" customFormat="1" ht="12.75" x14ac:dyDescent="0.2">
      <c r="A280" s="20" t="str">
        <f>Data!B275</f>
        <v>6101</v>
      </c>
      <c r="B280" s="21" t="str">
        <f>INDEX(Data[],MATCH($A280,Data[Dist],0),MATCH(B$6,Data[#Headers],0))</f>
        <v>Southeast Polk</v>
      </c>
      <c r="C280" s="22">
        <f>INDEX(Data[],MATCH($A280,Data[Dist],0),MATCH(C$6,Data[#Headers],0))</f>
        <v>4289445</v>
      </c>
      <c r="D280" s="164">
        <f>INDEX(Data[],MATCH($A280,Data[Dist],0),MATCH(D$6,Data[#Headers],0))</f>
        <v>4260956</v>
      </c>
      <c r="E280" s="164">
        <f>INDEX(Data[],MATCH($A280,Data[Dist],0),MATCH(E$6,Data[#Headers],0))</f>
        <v>4260956</v>
      </c>
      <c r="F280" s="164">
        <f>INDEX(Data[],MATCH($A280,Data[Dist],0),MATCH(F$6,Data[#Headers],0))</f>
        <v>4260957</v>
      </c>
      <c r="G280" s="22">
        <f>INDEX(Data[],MATCH($A280,Data[Dist],0),MATCH(G$6,Data[#Headers],0))</f>
        <v>42723517</v>
      </c>
      <c r="H280" s="22">
        <f>INDEX(Data[],MATCH($A280,Data[Dist],0),MATCH(H$6,Data[#Headers],0))-G280</f>
        <v>0</v>
      </c>
      <c r="I280" s="25"/>
      <c r="J280" s="22">
        <f>INDEX(Notes!$I$2:$N$11,MATCH(Notes!$B$2,Notes!$I$2:$I$11,0),4)*$C280</f>
        <v>17157780</v>
      </c>
      <c r="K280" s="22">
        <f>INDEX(Notes!$I$2:$N$11,MATCH(Notes!$B$2,Notes!$I$2:$I$11,0),5)*$D280</f>
        <v>8521912</v>
      </c>
      <c r="L280" s="22">
        <f>INDEX(Notes!$I$2:$N$11,MATCH(Notes!$B$2,Notes!$I$2:$I$11,0),6)*$E280</f>
        <v>12782868</v>
      </c>
      <c r="M280" s="22">
        <f>IF(Notes!$B$2="June",'Payment Total'!$F280,0)</f>
        <v>4260957</v>
      </c>
      <c r="N280" s="22">
        <f t="shared" si="28"/>
        <v>0</v>
      </c>
      <c r="P280" s="26">
        <v>61010000</v>
      </c>
      <c r="Q280" s="26">
        <v>4260957</v>
      </c>
      <c r="R280" s="21" t="str">
        <f t="shared" si="29"/>
        <v>6101</v>
      </c>
      <c r="S280" s="44" t="str">
        <f t="shared" si="30"/>
        <v>6101</v>
      </c>
      <c r="T280" s="20">
        <f t="shared" si="31"/>
        <v>0</v>
      </c>
      <c r="V280" s="46" t="s">
        <v>1083</v>
      </c>
      <c r="W280" s="26">
        <v>1191584</v>
      </c>
      <c r="X280" s="21" t="str">
        <f t="shared" si="32"/>
        <v>6102</v>
      </c>
      <c r="Y280" s="44" t="str">
        <f t="shared" si="33"/>
        <v>6102</v>
      </c>
      <c r="Z280" s="45">
        <f t="shared" si="34"/>
        <v>0</v>
      </c>
    </row>
    <row r="281" spans="1:26" s="26" customFormat="1" ht="12.75" x14ac:dyDescent="0.2">
      <c r="A281" s="20" t="str">
        <f>Data!B276</f>
        <v>6102</v>
      </c>
      <c r="B281" s="21" t="str">
        <f>INDEX(Data[],MATCH($A281,Data[Dist],0),MATCH(B$6,Data[#Headers],0))</f>
        <v>Spencer</v>
      </c>
      <c r="C281" s="22">
        <f>INDEX(Data[],MATCH($A281,Data[Dist],0),MATCH(C$6,Data[#Headers],0))</f>
        <v>1199481</v>
      </c>
      <c r="D281" s="164">
        <f>INDEX(Data[],MATCH($A281,Data[Dist],0),MATCH(D$6,Data[#Headers],0))</f>
        <v>1191584</v>
      </c>
      <c r="E281" s="164">
        <f>INDEX(Data[],MATCH($A281,Data[Dist],0),MATCH(E$6,Data[#Headers],0))</f>
        <v>1191583</v>
      </c>
      <c r="F281" s="164">
        <f>INDEX(Data[],MATCH($A281,Data[Dist],0),MATCH(F$6,Data[#Headers],0))</f>
        <v>1191584</v>
      </c>
      <c r="G281" s="22">
        <f>INDEX(Data[],MATCH($A281,Data[Dist],0),MATCH(G$6,Data[#Headers],0))</f>
        <v>11947425</v>
      </c>
      <c r="H281" s="22">
        <f>INDEX(Data[],MATCH($A281,Data[Dist],0),MATCH(H$6,Data[#Headers],0))-G281</f>
        <v>0</v>
      </c>
      <c r="I281" s="25"/>
      <c r="J281" s="22">
        <f>INDEX(Notes!$I$2:$N$11,MATCH(Notes!$B$2,Notes!$I$2:$I$11,0),4)*$C281</f>
        <v>4797924</v>
      </c>
      <c r="K281" s="22">
        <f>INDEX(Notes!$I$2:$N$11,MATCH(Notes!$B$2,Notes!$I$2:$I$11,0),5)*$D281</f>
        <v>2383168</v>
      </c>
      <c r="L281" s="22">
        <f>INDEX(Notes!$I$2:$N$11,MATCH(Notes!$B$2,Notes!$I$2:$I$11,0),6)*$E281</f>
        <v>3574749</v>
      </c>
      <c r="M281" s="22">
        <f>IF(Notes!$B$2="June",'Payment Total'!$F281,0)</f>
        <v>1191584</v>
      </c>
      <c r="N281" s="22">
        <f t="shared" si="28"/>
        <v>0</v>
      </c>
      <c r="P281" s="26">
        <v>61020000</v>
      </c>
      <c r="Q281" s="26">
        <v>1191584</v>
      </c>
      <c r="R281" s="21" t="str">
        <f t="shared" si="29"/>
        <v>6102</v>
      </c>
      <c r="S281" s="44" t="str">
        <f t="shared" si="30"/>
        <v>6102</v>
      </c>
      <c r="T281" s="20">
        <f t="shared" si="31"/>
        <v>0</v>
      </c>
      <c r="V281" s="46" t="s">
        <v>1084</v>
      </c>
      <c r="W281" s="26">
        <v>262003</v>
      </c>
      <c r="X281" s="21" t="str">
        <f t="shared" si="32"/>
        <v>6120</v>
      </c>
      <c r="Y281" s="44" t="str">
        <f t="shared" si="33"/>
        <v>6120</v>
      </c>
      <c r="Z281" s="45">
        <f t="shared" si="34"/>
        <v>0</v>
      </c>
    </row>
    <row r="282" spans="1:26" s="26" customFormat="1" ht="12.75" x14ac:dyDescent="0.2">
      <c r="A282" s="20" t="str">
        <f>Data!B277</f>
        <v>6120</v>
      </c>
      <c r="B282" s="21" t="str">
        <f>INDEX(Data[],MATCH($A282,Data[Dist],0),MATCH(B$6,Data[#Headers],0))</f>
        <v>Spirit Lake</v>
      </c>
      <c r="C282" s="22">
        <f>INDEX(Data[],MATCH($A282,Data[Dist],0),MATCH(C$6,Data[#Headers],0))</f>
        <v>266837</v>
      </c>
      <c r="D282" s="164">
        <f>INDEX(Data[],MATCH($A282,Data[Dist],0),MATCH(D$6,Data[#Headers],0))</f>
        <v>262004</v>
      </c>
      <c r="E282" s="164">
        <f>INDEX(Data[],MATCH($A282,Data[Dist],0),MATCH(E$6,Data[#Headers],0))</f>
        <v>262005</v>
      </c>
      <c r="F282" s="164">
        <f>INDEX(Data[],MATCH($A282,Data[Dist],0),MATCH(F$6,Data[#Headers],0))</f>
        <v>262003</v>
      </c>
      <c r="G282" s="22">
        <f>INDEX(Data[],MATCH($A282,Data[Dist],0),MATCH(G$6,Data[#Headers],0))</f>
        <v>2639374</v>
      </c>
      <c r="H282" s="22">
        <f>INDEX(Data[],MATCH($A282,Data[Dist],0),MATCH(H$6,Data[#Headers],0))-G282</f>
        <v>0</v>
      </c>
      <c r="I282" s="25"/>
      <c r="J282" s="22">
        <f>INDEX(Notes!$I$2:$N$11,MATCH(Notes!$B$2,Notes!$I$2:$I$11,0),4)*$C282</f>
        <v>1067348</v>
      </c>
      <c r="K282" s="22">
        <f>INDEX(Notes!$I$2:$N$11,MATCH(Notes!$B$2,Notes!$I$2:$I$11,0),5)*$D282</f>
        <v>524008</v>
      </c>
      <c r="L282" s="22">
        <f>INDEX(Notes!$I$2:$N$11,MATCH(Notes!$B$2,Notes!$I$2:$I$11,0),6)*$E282</f>
        <v>786015</v>
      </c>
      <c r="M282" s="22">
        <f>IF(Notes!$B$2="June",'Payment Total'!$F282,0)</f>
        <v>262003</v>
      </c>
      <c r="N282" s="22">
        <f t="shared" si="28"/>
        <v>0</v>
      </c>
      <c r="P282" s="26">
        <v>61200000</v>
      </c>
      <c r="Q282" s="26">
        <v>262003</v>
      </c>
      <c r="R282" s="21" t="str">
        <f t="shared" si="29"/>
        <v>6120</v>
      </c>
      <c r="S282" s="44" t="str">
        <f t="shared" si="30"/>
        <v>6120</v>
      </c>
      <c r="T282" s="20">
        <f t="shared" si="31"/>
        <v>0</v>
      </c>
      <c r="V282" s="46" t="s">
        <v>1085</v>
      </c>
      <c r="W282" s="26">
        <v>243473</v>
      </c>
      <c r="X282" s="21" t="str">
        <f t="shared" si="32"/>
        <v>6138</v>
      </c>
      <c r="Y282" s="44" t="str">
        <f t="shared" si="33"/>
        <v>6138</v>
      </c>
      <c r="Z282" s="45">
        <f t="shared" si="34"/>
        <v>0</v>
      </c>
    </row>
    <row r="283" spans="1:26" s="26" customFormat="1" ht="12.75" x14ac:dyDescent="0.2">
      <c r="A283" s="20" t="str">
        <f>Data!B278</f>
        <v>6138</v>
      </c>
      <c r="B283" s="21" t="str">
        <f>INDEX(Data[],MATCH($A283,Data[Dist],0),MATCH(B$6,Data[#Headers],0))</f>
        <v>Springville</v>
      </c>
      <c r="C283" s="22">
        <f>INDEX(Data[],MATCH($A283,Data[Dist],0),MATCH(C$6,Data[#Headers],0))</f>
        <v>245098</v>
      </c>
      <c r="D283" s="164">
        <f>INDEX(Data[],MATCH($A283,Data[Dist],0),MATCH(D$6,Data[#Headers],0))</f>
        <v>243475</v>
      </c>
      <c r="E283" s="164">
        <f>INDEX(Data[],MATCH($A283,Data[Dist],0),MATCH(E$6,Data[#Headers],0))</f>
        <v>243475</v>
      </c>
      <c r="F283" s="164">
        <f>INDEX(Data[],MATCH($A283,Data[Dist],0),MATCH(F$6,Data[#Headers],0))</f>
        <v>243473</v>
      </c>
      <c r="G283" s="22">
        <f>INDEX(Data[],MATCH($A283,Data[Dist],0),MATCH(G$6,Data[#Headers],0))</f>
        <v>2441240</v>
      </c>
      <c r="H283" s="22">
        <f>INDEX(Data[],MATCH($A283,Data[Dist],0),MATCH(H$6,Data[#Headers],0))-G283</f>
        <v>0</v>
      </c>
      <c r="I283" s="25"/>
      <c r="J283" s="22">
        <f>INDEX(Notes!$I$2:$N$11,MATCH(Notes!$B$2,Notes!$I$2:$I$11,0),4)*$C283</f>
        <v>980392</v>
      </c>
      <c r="K283" s="22">
        <f>INDEX(Notes!$I$2:$N$11,MATCH(Notes!$B$2,Notes!$I$2:$I$11,0),5)*$D283</f>
        <v>486950</v>
      </c>
      <c r="L283" s="22">
        <f>INDEX(Notes!$I$2:$N$11,MATCH(Notes!$B$2,Notes!$I$2:$I$11,0),6)*$E283</f>
        <v>730425</v>
      </c>
      <c r="M283" s="22">
        <f>IF(Notes!$B$2="June",'Payment Total'!$F283,0)</f>
        <v>243473</v>
      </c>
      <c r="N283" s="22">
        <f t="shared" si="28"/>
        <v>0</v>
      </c>
      <c r="P283" s="26">
        <v>61380000</v>
      </c>
      <c r="Q283" s="26">
        <v>243473</v>
      </c>
      <c r="R283" s="21" t="str">
        <f t="shared" si="29"/>
        <v>6138</v>
      </c>
      <c r="S283" s="44" t="str">
        <f t="shared" si="30"/>
        <v>6138</v>
      </c>
      <c r="T283" s="20">
        <f t="shared" si="31"/>
        <v>0</v>
      </c>
      <c r="V283" s="46" t="s">
        <v>1087</v>
      </c>
      <c r="W283" s="26">
        <v>123039</v>
      </c>
      <c r="X283" s="21" t="str">
        <f t="shared" si="32"/>
        <v>6165</v>
      </c>
      <c r="Y283" s="44" t="str">
        <f t="shared" si="33"/>
        <v>6165</v>
      </c>
      <c r="Z283" s="45">
        <f t="shared" si="34"/>
        <v>0</v>
      </c>
    </row>
    <row r="284" spans="1:26" s="26" customFormat="1" ht="12.75" x14ac:dyDescent="0.2">
      <c r="A284" s="20" t="str">
        <f>Data!B279</f>
        <v>6165</v>
      </c>
      <c r="B284" s="21" t="str">
        <f>INDEX(Data[],MATCH($A284,Data[Dist],0),MATCH(B$6,Data[#Headers],0))</f>
        <v>Stanton</v>
      </c>
      <c r="C284" s="22">
        <f>INDEX(Data[],MATCH($A284,Data[Dist],0),MATCH(C$6,Data[#Headers],0))</f>
        <v>123829</v>
      </c>
      <c r="D284" s="164">
        <f>INDEX(Data[],MATCH($A284,Data[Dist],0),MATCH(D$6,Data[#Headers],0))</f>
        <v>123038</v>
      </c>
      <c r="E284" s="164">
        <f>INDEX(Data[],MATCH($A284,Data[Dist],0),MATCH(E$6,Data[#Headers],0))</f>
        <v>123038</v>
      </c>
      <c r="F284" s="164">
        <f>INDEX(Data[],MATCH($A284,Data[Dist],0),MATCH(F$6,Data[#Headers],0))</f>
        <v>123039</v>
      </c>
      <c r="G284" s="22">
        <f>INDEX(Data[],MATCH($A284,Data[Dist],0),MATCH(G$6,Data[#Headers],0))</f>
        <v>1233545</v>
      </c>
      <c r="H284" s="22">
        <f>INDEX(Data[],MATCH($A284,Data[Dist],0),MATCH(H$6,Data[#Headers],0))-G284</f>
        <v>0</v>
      </c>
      <c r="I284" s="25"/>
      <c r="J284" s="22">
        <f>INDEX(Notes!$I$2:$N$11,MATCH(Notes!$B$2,Notes!$I$2:$I$11,0),4)*$C284</f>
        <v>495316</v>
      </c>
      <c r="K284" s="22">
        <f>INDEX(Notes!$I$2:$N$11,MATCH(Notes!$B$2,Notes!$I$2:$I$11,0),5)*$D284</f>
        <v>246076</v>
      </c>
      <c r="L284" s="22">
        <f>INDEX(Notes!$I$2:$N$11,MATCH(Notes!$B$2,Notes!$I$2:$I$11,0),6)*$E284</f>
        <v>369114</v>
      </c>
      <c r="M284" s="22">
        <f>IF(Notes!$B$2="June",'Payment Total'!$F284,0)</f>
        <v>123039</v>
      </c>
      <c r="N284" s="22">
        <f t="shared" si="28"/>
        <v>0</v>
      </c>
      <c r="P284" s="26">
        <v>61650000</v>
      </c>
      <c r="Q284" s="26">
        <v>123039</v>
      </c>
      <c r="R284" s="21" t="str">
        <f t="shared" si="29"/>
        <v>6165</v>
      </c>
      <c r="S284" s="44" t="str">
        <f t="shared" si="30"/>
        <v>6165</v>
      </c>
      <c r="T284" s="20">
        <f t="shared" si="31"/>
        <v>0</v>
      </c>
      <c r="V284" s="46" t="s">
        <v>1088</v>
      </c>
      <c r="W284" s="26">
        <v>368250</v>
      </c>
      <c r="X284" s="21" t="str">
        <f t="shared" si="32"/>
        <v>6175</v>
      </c>
      <c r="Y284" s="44" t="str">
        <f t="shared" si="33"/>
        <v>6175</v>
      </c>
      <c r="Z284" s="45">
        <f t="shared" si="34"/>
        <v>0</v>
      </c>
    </row>
    <row r="285" spans="1:26" s="26" customFormat="1" ht="12.75" x14ac:dyDescent="0.2">
      <c r="A285" s="20" t="str">
        <f>Data!B280</f>
        <v>6175</v>
      </c>
      <c r="B285" s="21" t="str">
        <f>INDEX(Data[],MATCH($A285,Data[Dist],0),MATCH(B$6,Data[#Headers],0))</f>
        <v>Starmont</v>
      </c>
      <c r="C285" s="22">
        <f>INDEX(Data[],MATCH($A285,Data[Dist],0),MATCH(C$6,Data[#Headers],0))</f>
        <v>370831</v>
      </c>
      <c r="D285" s="164">
        <f>INDEX(Data[],MATCH($A285,Data[Dist],0),MATCH(D$6,Data[#Headers],0))</f>
        <v>368252</v>
      </c>
      <c r="E285" s="164">
        <f>INDEX(Data[],MATCH($A285,Data[Dist],0),MATCH(E$6,Data[#Headers],0))</f>
        <v>368252</v>
      </c>
      <c r="F285" s="164">
        <f>INDEX(Data[],MATCH($A285,Data[Dist],0),MATCH(F$6,Data[#Headers],0))</f>
        <v>368250</v>
      </c>
      <c r="G285" s="22">
        <f>INDEX(Data[],MATCH($A285,Data[Dist],0),MATCH(G$6,Data[#Headers],0))</f>
        <v>3692834</v>
      </c>
      <c r="H285" s="22">
        <f>INDEX(Data[],MATCH($A285,Data[Dist],0),MATCH(H$6,Data[#Headers],0))-G285</f>
        <v>0</v>
      </c>
      <c r="I285" s="25"/>
      <c r="J285" s="22">
        <f>INDEX(Notes!$I$2:$N$11,MATCH(Notes!$B$2,Notes!$I$2:$I$11,0),4)*$C285</f>
        <v>1483324</v>
      </c>
      <c r="K285" s="22">
        <f>INDEX(Notes!$I$2:$N$11,MATCH(Notes!$B$2,Notes!$I$2:$I$11,0),5)*$D285</f>
        <v>736504</v>
      </c>
      <c r="L285" s="22">
        <f>INDEX(Notes!$I$2:$N$11,MATCH(Notes!$B$2,Notes!$I$2:$I$11,0),6)*$E285</f>
        <v>1104756</v>
      </c>
      <c r="M285" s="22">
        <f>IF(Notes!$B$2="June",'Payment Total'!$F285,0)</f>
        <v>368250</v>
      </c>
      <c r="N285" s="22">
        <f t="shared" si="28"/>
        <v>0</v>
      </c>
      <c r="P285" s="26">
        <v>61750000</v>
      </c>
      <c r="Q285" s="26">
        <v>368250</v>
      </c>
      <c r="R285" s="21" t="str">
        <f t="shared" si="29"/>
        <v>6175</v>
      </c>
      <c r="S285" s="44" t="str">
        <f t="shared" si="30"/>
        <v>6175</v>
      </c>
      <c r="T285" s="20">
        <f t="shared" si="31"/>
        <v>0</v>
      </c>
      <c r="V285" s="46" t="s">
        <v>1089</v>
      </c>
      <c r="W285" s="26">
        <v>1752241</v>
      </c>
      <c r="X285" s="21" t="str">
        <f t="shared" si="32"/>
        <v>6219</v>
      </c>
      <c r="Y285" s="44" t="str">
        <f t="shared" si="33"/>
        <v>6219</v>
      </c>
      <c r="Z285" s="45">
        <f t="shared" si="34"/>
        <v>0</v>
      </c>
    </row>
    <row r="286" spans="1:26" s="26" customFormat="1" ht="12.75" x14ac:dyDescent="0.2">
      <c r="A286" s="20" t="str">
        <f>Data!B281</f>
        <v>6219</v>
      </c>
      <c r="B286" s="21" t="str">
        <f>INDEX(Data[],MATCH($A286,Data[Dist],0),MATCH(B$6,Data[#Headers],0))</f>
        <v>Storm Lake</v>
      </c>
      <c r="C286" s="22">
        <f>INDEX(Data[],MATCH($A286,Data[Dist],0),MATCH(C$6,Data[#Headers],0))</f>
        <v>1762028</v>
      </c>
      <c r="D286" s="164">
        <f>INDEX(Data[],MATCH($A286,Data[Dist],0),MATCH(D$6,Data[#Headers],0))</f>
        <v>1752241</v>
      </c>
      <c r="E286" s="164">
        <f>INDEX(Data[],MATCH($A286,Data[Dist],0),MATCH(E$6,Data[#Headers],0))</f>
        <v>1752240</v>
      </c>
      <c r="F286" s="164">
        <f>INDEX(Data[],MATCH($A286,Data[Dist],0),MATCH(F$6,Data[#Headers],0))</f>
        <v>1752241</v>
      </c>
      <c r="G286" s="22">
        <f>INDEX(Data[],MATCH($A286,Data[Dist],0),MATCH(G$6,Data[#Headers],0))</f>
        <v>17561555</v>
      </c>
      <c r="H286" s="22">
        <f>INDEX(Data[],MATCH($A286,Data[Dist],0),MATCH(H$6,Data[#Headers],0))-G286</f>
        <v>0</v>
      </c>
      <c r="I286" s="25"/>
      <c r="J286" s="22">
        <f>INDEX(Notes!$I$2:$N$11,MATCH(Notes!$B$2,Notes!$I$2:$I$11,0),4)*$C286</f>
        <v>7048112</v>
      </c>
      <c r="K286" s="22">
        <f>INDEX(Notes!$I$2:$N$11,MATCH(Notes!$B$2,Notes!$I$2:$I$11,0),5)*$D286</f>
        <v>3504482</v>
      </c>
      <c r="L286" s="22">
        <f>INDEX(Notes!$I$2:$N$11,MATCH(Notes!$B$2,Notes!$I$2:$I$11,0),6)*$E286</f>
        <v>5256720</v>
      </c>
      <c r="M286" s="22">
        <f>IF(Notes!$B$2="June",'Payment Total'!$F286,0)</f>
        <v>1752241</v>
      </c>
      <c r="N286" s="22">
        <f t="shared" si="28"/>
        <v>0</v>
      </c>
      <c r="P286" s="26">
        <v>62190000</v>
      </c>
      <c r="Q286" s="26">
        <v>1752241</v>
      </c>
      <c r="R286" s="21" t="str">
        <f t="shared" si="29"/>
        <v>6219</v>
      </c>
      <c r="S286" s="44" t="str">
        <f t="shared" si="30"/>
        <v>6219</v>
      </c>
      <c r="T286" s="20">
        <f t="shared" si="31"/>
        <v>0</v>
      </c>
      <c r="V286" s="46" t="s">
        <v>1090</v>
      </c>
      <c r="W286" s="26">
        <v>96969</v>
      </c>
      <c r="X286" s="21" t="str">
        <f t="shared" si="32"/>
        <v>6246</v>
      </c>
      <c r="Y286" s="44" t="str">
        <f t="shared" si="33"/>
        <v>6246</v>
      </c>
      <c r="Z286" s="45">
        <f t="shared" si="34"/>
        <v>0</v>
      </c>
    </row>
    <row r="287" spans="1:26" s="26" customFormat="1" ht="12.75" x14ac:dyDescent="0.2">
      <c r="A287" s="20" t="str">
        <f>Data!B282</f>
        <v>6246</v>
      </c>
      <c r="B287" s="21" t="str">
        <f>INDEX(Data[],MATCH($A287,Data[Dist],0),MATCH(B$6,Data[#Headers],0))</f>
        <v>Stratford</v>
      </c>
      <c r="C287" s="22">
        <f>INDEX(Data[],MATCH($A287,Data[Dist],0),MATCH(C$6,Data[#Headers],0))</f>
        <v>97599</v>
      </c>
      <c r="D287" s="164">
        <f>INDEX(Data[],MATCH($A287,Data[Dist],0),MATCH(D$6,Data[#Headers],0))</f>
        <v>96971</v>
      </c>
      <c r="E287" s="164">
        <f>INDEX(Data[],MATCH($A287,Data[Dist],0),MATCH(E$6,Data[#Headers],0))</f>
        <v>96971</v>
      </c>
      <c r="F287" s="164">
        <f>INDEX(Data[],MATCH($A287,Data[Dist],0),MATCH(F$6,Data[#Headers],0))</f>
        <v>96969</v>
      </c>
      <c r="G287" s="22">
        <f>INDEX(Data[],MATCH($A287,Data[Dist],0),MATCH(G$6,Data[#Headers],0))</f>
        <v>972220</v>
      </c>
      <c r="H287" s="22">
        <f>INDEX(Data[],MATCH($A287,Data[Dist],0),MATCH(H$6,Data[#Headers],0))-G287</f>
        <v>0</v>
      </c>
      <c r="I287" s="25"/>
      <c r="J287" s="22">
        <f>INDEX(Notes!$I$2:$N$11,MATCH(Notes!$B$2,Notes!$I$2:$I$11,0),4)*$C287</f>
        <v>390396</v>
      </c>
      <c r="K287" s="22">
        <f>INDEX(Notes!$I$2:$N$11,MATCH(Notes!$B$2,Notes!$I$2:$I$11,0),5)*$D287</f>
        <v>193942</v>
      </c>
      <c r="L287" s="22">
        <f>INDEX(Notes!$I$2:$N$11,MATCH(Notes!$B$2,Notes!$I$2:$I$11,0),6)*$E287</f>
        <v>290913</v>
      </c>
      <c r="M287" s="22">
        <f>IF(Notes!$B$2="June",'Payment Total'!$F287,0)</f>
        <v>96969</v>
      </c>
      <c r="N287" s="22">
        <f t="shared" si="28"/>
        <v>0</v>
      </c>
      <c r="P287" s="26">
        <v>62460000</v>
      </c>
      <c r="Q287" s="26">
        <v>96969</v>
      </c>
      <c r="R287" s="21" t="str">
        <f t="shared" si="29"/>
        <v>6246</v>
      </c>
      <c r="S287" s="44" t="str">
        <f t="shared" si="30"/>
        <v>6246</v>
      </c>
      <c r="T287" s="20">
        <f t="shared" si="31"/>
        <v>0</v>
      </c>
      <c r="V287" s="46" t="s">
        <v>1121</v>
      </c>
      <c r="W287" s="26">
        <v>506840</v>
      </c>
      <c r="X287" s="21" t="str">
        <f t="shared" si="32"/>
        <v>6264</v>
      </c>
      <c r="Y287" s="44" t="str">
        <f t="shared" si="33"/>
        <v>6264</v>
      </c>
      <c r="Z287" s="45">
        <f t="shared" si="34"/>
        <v>0</v>
      </c>
    </row>
    <row r="288" spans="1:26" s="26" customFormat="1" ht="12.75" x14ac:dyDescent="0.2">
      <c r="A288" s="20" t="str">
        <f>Data!B283</f>
        <v>6264</v>
      </c>
      <c r="B288" s="21" t="str">
        <f>INDEX(Data[],MATCH($A288,Data[Dist],0),MATCH(B$6,Data[#Headers],0))</f>
        <v>West Central Valley</v>
      </c>
      <c r="C288" s="22">
        <f>INDEX(Data[],MATCH($A288,Data[Dist],0),MATCH(C$6,Data[#Headers],0))</f>
        <v>510639</v>
      </c>
      <c r="D288" s="164">
        <f>INDEX(Data[],MATCH($A288,Data[Dist],0),MATCH(D$6,Data[#Headers],0))</f>
        <v>506840</v>
      </c>
      <c r="E288" s="164">
        <f>INDEX(Data[],MATCH($A288,Data[Dist],0),MATCH(E$6,Data[#Headers],0))</f>
        <v>506840</v>
      </c>
      <c r="F288" s="164">
        <f>INDEX(Data[],MATCH($A288,Data[Dist],0),MATCH(F$6,Data[#Headers],0))</f>
        <v>506840</v>
      </c>
      <c r="G288" s="22">
        <f>INDEX(Data[],MATCH($A288,Data[Dist],0),MATCH(G$6,Data[#Headers],0))</f>
        <v>5083596</v>
      </c>
      <c r="H288" s="22">
        <f>INDEX(Data[],MATCH($A288,Data[Dist],0),MATCH(H$6,Data[#Headers],0))-G288</f>
        <v>0</v>
      </c>
      <c r="I288" s="25"/>
      <c r="J288" s="22">
        <f>INDEX(Notes!$I$2:$N$11,MATCH(Notes!$B$2,Notes!$I$2:$I$11,0),4)*$C288</f>
        <v>2042556</v>
      </c>
      <c r="K288" s="22">
        <f>INDEX(Notes!$I$2:$N$11,MATCH(Notes!$B$2,Notes!$I$2:$I$11,0),5)*$D288</f>
        <v>1013680</v>
      </c>
      <c r="L288" s="22">
        <f>INDEX(Notes!$I$2:$N$11,MATCH(Notes!$B$2,Notes!$I$2:$I$11,0),6)*$E288</f>
        <v>1520520</v>
      </c>
      <c r="M288" s="22">
        <f>IF(Notes!$B$2="June",'Payment Total'!$F288,0)</f>
        <v>506840</v>
      </c>
      <c r="N288" s="22">
        <f t="shared" si="28"/>
        <v>0</v>
      </c>
      <c r="P288" s="26">
        <v>62640000</v>
      </c>
      <c r="Q288" s="26">
        <v>506840</v>
      </c>
      <c r="R288" s="21" t="str">
        <f t="shared" si="29"/>
        <v>6264</v>
      </c>
      <c r="S288" s="44" t="str">
        <f t="shared" si="30"/>
        <v>6264</v>
      </c>
      <c r="T288" s="20">
        <f t="shared" si="31"/>
        <v>0</v>
      </c>
      <c r="V288" s="46" t="s">
        <v>1091</v>
      </c>
      <c r="W288" s="26">
        <v>457834</v>
      </c>
      <c r="X288" s="21" t="str">
        <f t="shared" si="32"/>
        <v>6273</v>
      </c>
      <c r="Y288" s="44" t="str">
        <f t="shared" si="33"/>
        <v>6273</v>
      </c>
      <c r="Z288" s="45">
        <f t="shared" si="34"/>
        <v>0</v>
      </c>
    </row>
    <row r="289" spans="1:26" s="26" customFormat="1" ht="12.75" x14ac:dyDescent="0.2">
      <c r="A289" s="20" t="str">
        <f>Data!B284</f>
        <v>6273</v>
      </c>
      <c r="B289" s="21" t="str">
        <f>INDEX(Data[],MATCH($A289,Data[Dist],0),MATCH(B$6,Data[#Headers],0))</f>
        <v>Sumner-Fredericksburg</v>
      </c>
      <c r="C289" s="22">
        <f>INDEX(Data[],MATCH($A289,Data[Dist],0),MATCH(C$6,Data[#Headers],0))</f>
        <v>461206</v>
      </c>
      <c r="D289" s="164">
        <f>INDEX(Data[],MATCH($A289,Data[Dist],0),MATCH(D$6,Data[#Headers],0))</f>
        <v>457836</v>
      </c>
      <c r="E289" s="164">
        <f>INDEX(Data[],MATCH($A289,Data[Dist],0),MATCH(E$6,Data[#Headers],0))</f>
        <v>457836</v>
      </c>
      <c r="F289" s="164">
        <f>INDEX(Data[],MATCH($A289,Data[Dist],0),MATCH(F$6,Data[#Headers],0))</f>
        <v>457834</v>
      </c>
      <c r="G289" s="22">
        <f>INDEX(Data[],MATCH($A289,Data[Dist],0),MATCH(G$6,Data[#Headers],0))</f>
        <v>4591838</v>
      </c>
      <c r="H289" s="22">
        <f>INDEX(Data[],MATCH($A289,Data[Dist],0),MATCH(H$6,Data[#Headers],0))-G289</f>
        <v>0</v>
      </c>
      <c r="I289" s="25"/>
      <c r="J289" s="22">
        <f>INDEX(Notes!$I$2:$N$11,MATCH(Notes!$B$2,Notes!$I$2:$I$11,0),4)*$C289</f>
        <v>1844824</v>
      </c>
      <c r="K289" s="22">
        <f>INDEX(Notes!$I$2:$N$11,MATCH(Notes!$B$2,Notes!$I$2:$I$11,0),5)*$D289</f>
        <v>915672</v>
      </c>
      <c r="L289" s="22">
        <f>INDEX(Notes!$I$2:$N$11,MATCH(Notes!$B$2,Notes!$I$2:$I$11,0),6)*$E289</f>
        <v>1373508</v>
      </c>
      <c r="M289" s="22">
        <f>IF(Notes!$B$2="June",'Payment Total'!$F289,0)</f>
        <v>457834</v>
      </c>
      <c r="N289" s="22">
        <f t="shared" si="28"/>
        <v>0</v>
      </c>
      <c r="P289" s="26">
        <v>62730000</v>
      </c>
      <c r="Q289" s="26">
        <v>457834</v>
      </c>
      <c r="R289" s="21" t="str">
        <f t="shared" si="29"/>
        <v>6273</v>
      </c>
      <c r="S289" s="44" t="str">
        <f t="shared" si="30"/>
        <v>6273</v>
      </c>
      <c r="T289" s="20">
        <f t="shared" si="31"/>
        <v>0</v>
      </c>
      <c r="V289" s="46" t="s">
        <v>1092</v>
      </c>
      <c r="W289" s="26">
        <v>509544</v>
      </c>
      <c r="X289" s="21" t="str">
        <f t="shared" si="32"/>
        <v>6408</v>
      </c>
      <c r="Y289" s="44" t="str">
        <f t="shared" si="33"/>
        <v>6408</v>
      </c>
      <c r="Z289" s="45">
        <f t="shared" si="34"/>
        <v>0</v>
      </c>
    </row>
    <row r="290" spans="1:26" s="26" customFormat="1" ht="12.75" x14ac:dyDescent="0.2">
      <c r="A290" s="20" t="str">
        <f>Data!B285</f>
        <v>6408</v>
      </c>
      <c r="B290" s="21" t="str">
        <f>INDEX(Data[],MATCH($A290,Data[Dist],0),MATCH(B$6,Data[#Headers],0))</f>
        <v>Tipton</v>
      </c>
      <c r="C290" s="22">
        <f>INDEX(Data[],MATCH($A290,Data[Dist],0),MATCH(C$6,Data[#Headers],0))</f>
        <v>513222</v>
      </c>
      <c r="D290" s="164">
        <f>INDEX(Data[],MATCH($A290,Data[Dist],0),MATCH(D$6,Data[#Headers],0))</f>
        <v>509545</v>
      </c>
      <c r="E290" s="164">
        <f>INDEX(Data[],MATCH($A290,Data[Dist],0),MATCH(E$6,Data[#Headers],0))</f>
        <v>509545</v>
      </c>
      <c r="F290" s="164">
        <f>INDEX(Data[],MATCH($A290,Data[Dist],0),MATCH(F$6,Data[#Headers],0))</f>
        <v>509544</v>
      </c>
      <c r="G290" s="22">
        <f>INDEX(Data[],MATCH($A290,Data[Dist],0),MATCH(G$6,Data[#Headers],0))</f>
        <v>5110157</v>
      </c>
      <c r="H290" s="22">
        <f>INDEX(Data[],MATCH($A290,Data[Dist],0),MATCH(H$6,Data[#Headers],0))-G290</f>
        <v>0</v>
      </c>
      <c r="I290" s="25"/>
      <c r="J290" s="22">
        <f>INDEX(Notes!$I$2:$N$11,MATCH(Notes!$B$2,Notes!$I$2:$I$11,0),4)*$C290</f>
        <v>2052888</v>
      </c>
      <c r="K290" s="22">
        <f>INDEX(Notes!$I$2:$N$11,MATCH(Notes!$B$2,Notes!$I$2:$I$11,0),5)*$D290</f>
        <v>1019090</v>
      </c>
      <c r="L290" s="22">
        <f>INDEX(Notes!$I$2:$N$11,MATCH(Notes!$B$2,Notes!$I$2:$I$11,0),6)*$E290</f>
        <v>1528635</v>
      </c>
      <c r="M290" s="22">
        <f>IF(Notes!$B$2="June",'Payment Total'!$F290,0)</f>
        <v>509544</v>
      </c>
      <c r="N290" s="22">
        <f t="shared" si="28"/>
        <v>0</v>
      </c>
      <c r="P290" s="26">
        <v>64080000</v>
      </c>
      <c r="Q290" s="26">
        <v>509544</v>
      </c>
      <c r="R290" s="21" t="str">
        <f t="shared" si="29"/>
        <v>6408</v>
      </c>
      <c r="S290" s="44" t="str">
        <f t="shared" si="30"/>
        <v>6408</v>
      </c>
      <c r="T290" s="20">
        <f t="shared" si="31"/>
        <v>0</v>
      </c>
      <c r="V290" s="46" t="s">
        <v>1093</v>
      </c>
      <c r="W290" s="26">
        <v>309512</v>
      </c>
      <c r="X290" s="21" t="str">
        <f t="shared" si="32"/>
        <v>6453</v>
      </c>
      <c r="Y290" s="44" t="str">
        <f t="shared" si="33"/>
        <v>6453</v>
      </c>
      <c r="Z290" s="45">
        <f t="shared" si="34"/>
        <v>0</v>
      </c>
    </row>
    <row r="291" spans="1:26" s="26" customFormat="1" ht="12.75" x14ac:dyDescent="0.2">
      <c r="A291" s="20" t="str">
        <f>Data!B286</f>
        <v>6453</v>
      </c>
      <c r="B291" s="21" t="str">
        <f>INDEX(Data[],MATCH($A291,Data[Dist],0),MATCH(B$6,Data[#Headers],0))</f>
        <v>Treynor</v>
      </c>
      <c r="C291" s="22">
        <f>INDEX(Data[],MATCH($A291,Data[Dist],0),MATCH(C$6,Data[#Headers],0))</f>
        <v>312046</v>
      </c>
      <c r="D291" s="164">
        <f>INDEX(Data[],MATCH($A291,Data[Dist],0),MATCH(D$6,Data[#Headers],0))</f>
        <v>309513</v>
      </c>
      <c r="E291" s="164">
        <f>INDEX(Data[],MATCH($A291,Data[Dist],0),MATCH(E$6,Data[#Headers],0))</f>
        <v>309513</v>
      </c>
      <c r="F291" s="164">
        <f>INDEX(Data[],MATCH($A291,Data[Dist],0),MATCH(F$6,Data[#Headers],0))</f>
        <v>309512</v>
      </c>
      <c r="G291" s="22">
        <f>INDEX(Data[],MATCH($A291,Data[Dist],0),MATCH(G$6,Data[#Headers],0))</f>
        <v>3105261</v>
      </c>
      <c r="H291" s="22">
        <f>INDEX(Data[],MATCH($A291,Data[Dist],0),MATCH(H$6,Data[#Headers],0))-G291</f>
        <v>0</v>
      </c>
      <c r="I291" s="25"/>
      <c r="J291" s="22">
        <f>INDEX(Notes!$I$2:$N$11,MATCH(Notes!$B$2,Notes!$I$2:$I$11,0),4)*$C291</f>
        <v>1248184</v>
      </c>
      <c r="K291" s="22">
        <f>INDEX(Notes!$I$2:$N$11,MATCH(Notes!$B$2,Notes!$I$2:$I$11,0),5)*$D291</f>
        <v>619026</v>
      </c>
      <c r="L291" s="22">
        <f>INDEX(Notes!$I$2:$N$11,MATCH(Notes!$B$2,Notes!$I$2:$I$11,0),6)*$E291</f>
        <v>928539</v>
      </c>
      <c r="M291" s="22">
        <f>IF(Notes!$B$2="June",'Payment Total'!$F291,0)</f>
        <v>309512</v>
      </c>
      <c r="N291" s="22">
        <f t="shared" si="28"/>
        <v>0</v>
      </c>
      <c r="P291" s="26">
        <v>64530000</v>
      </c>
      <c r="Q291" s="26">
        <v>309512</v>
      </c>
      <c r="R291" s="21" t="str">
        <f t="shared" si="29"/>
        <v>6453</v>
      </c>
      <c r="S291" s="44" t="str">
        <f t="shared" si="30"/>
        <v>6453</v>
      </c>
      <c r="T291" s="20">
        <f t="shared" si="31"/>
        <v>0</v>
      </c>
      <c r="V291" s="46" t="s">
        <v>1094</v>
      </c>
      <c r="W291" s="26">
        <v>367279</v>
      </c>
      <c r="X291" s="21" t="str">
        <f t="shared" si="32"/>
        <v>6460</v>
      </c>
      <c r="Y291" s="44" t="str">
        <f t="shared" si="33"/>
        <v>6460</v>
      </c>
      <c r="Z291" s="45">
        <f t="shared" si="34"/>
        <v>0</v>
      </c>
    </row>
    <row r="292" spans="1:26" s="26" customFormat="1" ht="12.75" x14ac:dyDescent="0.2">
      <c r="A292" s="20" t="str">
        <f>Data!B287</f>
        <v>6460</v>
      </c>
      <c r="B292" s="21" t="str">
        <f>INDEX(Data[],MATCH($A292,Data[Dist],0),MATCH(B$6,Data[#Headers],0))</f>
        <v>Tri-Center</v>
      </c>
      <c r="C292" s="22">
        <f>INDEX(Data[],MATCH($A292,Data[Dist],0),MATCH(C$6,Data[#Headers],0))</f>
        <v>369966</v>
      </c>
      <c r="D292" s="164">
        <f>INDEX(Data[],MATCH($A292,Data[Dist],0),MATCH(D$6,Data[#Headers],0))</f>
        <v>367281</v>
      </c>
      <c r="E292" s="164">
        <f>INDEX(Data[],MATCH($A292,Data[Dist],0),MATCH(E$6,Data[#Headers],0))</f>
        <v>367281</v>
      </c>
      <c r="F292" s="164">
        <f>INDEX(Data[],MATCH($A292,Data[Dist],0),MATCH(F$6,Data[#Headers],0))</f>
        <v>367279</v>
      </c>
      <c r="G292" s="22">
        <f>INDEX(Data[],MATCH($A292,Data[Dist],0),MATCH(G$6,Data[#Headers],0))</f>
        <v>3683548</v>
      </c>
      <c r="H292" s="22">
        <f>INDEX(Data[],MATCH($A292,Data[Dist],0),MATCH(H$6,Data[#Headers],0))-G292</f>
        <v>0</v>
      </c>
      <c r="I292" s="25"/>
      <c r="J292" s="22">
        <f>INDEX(Notes!$I$2:$N$11,MATCH(Notes!$B$2,Notes!$I$2:$I$11,0),4)*$C292</f>
        <v>1479864</v>
      </c>
      <c r="K292" s="22">
        <f>INDEX(Notes!$I$2:$N$11,MATCH(Notes!$B$2,Notes!$I$2:$I$11,0),5)*$D292</f>
        <v>734562</v>
      </c>
      <c r="L292" s="22">
        <f>INDEX(Notes!$I$2:$N$11,MATCH(Notes!$B$2,Notes!$I$2:$I$11,0),6)*$E292</f>
        <v>1101843</v>
      </c>
      <c r="M292" s="22">
        <f>IF(Notes!$B$2="June",'Payment Total'!$F292,0)</f>
        <v>367279</v>
      </c>
      <c r="N292" s="22">
        <f t="shared" si="28"/>
        <v>0</v>
      </c>
      <c r="P292" s="26">
        <v>64600000</v>
      </c>
      <c r="Q292" s="26">
        <v>367279</v>
      </c>
      <c r="R292" s="21" t="str">
        <f t="shared" si="29"/>
        <v>6460</v>
      </c>
      <c r="S292" s="44" t="str">
        <f t="shared" si="30"/>
        <v>6460</v>
      </c>
      <c r="T292" s="20">
        <f t="shared" si="31"/>
        <v>0</v>
      </c>
      <c r="V292" s="46" t="s">
        <v>1095</v>
      </c>
      <c r="W292" s="26">
        <v>163590</v>
      </c>
      <c r="X292" s="21" t="str">
        <f t="shared" si="32"/>
        <v>6462</v>
      </c>
      <c r="Y292" s="44" t="str">
        <f t="shared" si="33"/>
        <v>6462</v>
      </c>
      <c r="Z292" s="45">
        <f t="shared" si="34"/>
        <v>0</v>
      </c>
    </row>
    <row r="293" spans="1:26" s="26" customFormat="1" ht="12.75" x14ac:dyDescent="0.2">
      <c r="A293" s="20" t="str">
        <f>Data!B288</f>
        <v>6462</v>
      </c>
      <c r="B293" s="21" t="str">
        <f>INDEX(Data[],MATCH($A293,Data[Dist],0),MATCH(B$6,Data[#Headers],0))</f>
        <v>Tri-County</v>
      </c>
      <c r="C293" s="22">
        <f>INDEX(Data[],MATCH($A293,Data[Dist],0),MATCH(C$6,Data[#Headers],0))</f>
        <v>164738</v>
      </c>
      <c r="D293" s="164">
        <f>INDEX(Data[],MATCH($A293,Data[Dist],0),MATCH(D$6,Data[#Headers],0))</f>
        <v>163591</v>
      </c>
      <c r="E293" s="164">
        <f>INDEX(Data[],MATCH($A293,Data[Dist],0),MATCH(E$6,Data[#Headers],0))</f>
        <v>163591</v>
      </c>
      <c r="F293" s="164">
        <f>INDEX(Data[],MATCH($A293,Data[Dist],0),MATCH(F$6,Data[#Headers],0))</f>
        <v>163590</v>
      </c>
      <c r="G293" s="22">
        <f>INDEX(Data[],MATCH($A293,Data[Dist],0),MATCH(G$6,Data[#Headers],0))</f>
        <v>1640497</v>
      </c>
      <c r="H293" s="22">
        <f>INDEX(Data[],MATCH($A293,Data[Dist],0),MATCH(H$6,Data[#Headers],0))-G293</f>
        <v>0</v>
      </c>
      <c r="I293" s="25"/>
      <c r="J293" s="22">
        <f>INDEX(Notes!$I$2:$N$11,MATCH(Notes!$B$2,Notes!$I$2:$I$11,0),4)*$C293</f>
        <v>658952</v>
      </c>
      <c r="K293" s="22">
        <f>INDEX(Notes!$I$2:$N$11,MATCH(Notes!$B$2,Notes!$I$2:$I$11,0),5)*$D293</f>
        <v>327182</v>
      </c>
      <c r="L293" s="22">
        <f>INDEX(Notes!$I$2:$N$11,MATCH(Notes!$B$2,Notes!$I$2:$I$11,0),6)*$E293</f>
        <v>490773</v>
      </c>
      <c r="M293" s="22">
        <f>IF(Notes!$B$2="June",'Payment Total'!$F293,0)</f>
        <v>163590</v>
      </c>
      <c r="N293" s="22">
        <f t="shared" si="28"/>
        <v>0</v>
      </c>
      <c r="P293" s="26">
        <v>64620000</v>
      </c>
      <c r="Q293" s="26">
        <v>163590</v>
      </c>
      <c r="R293" s="21" t="str">
        <f t="shared" si="29"/>
        <v>6462</v>
      </c>
      <c r="S293" s="44" t="str">
        <f t="shared" si="30"/>
        <v>6462</v>
      </c>
      <c r="T293" s="20">
        <f t="shared" si="31"/>
        <v>0</v>
      </c>
      <c r="V293" s="46" t="s">
        <v>1096</v>
      </c>
      <c r="W293" s="26">
        <v>268687</v>
      </c>
      <c r="X293" s="21" t="str">
        <f t="shared" si="32"/>
        <v>6471</v>
      </c>
      <c r="Y293" s="44" t="str">
        <f t="shared" si="33"/>
        <v>6471</v>
      </c>
      <c r="Z293" s="45">
        <f t="shared" si="34"/>
        <v>0</v>
      </c>
    </row>
    <row r="294" spans="1:26" s="26" customFormat="1" ht="12.75" x14ac:dyDescent="0.2">
      <c r="A294" s="20" t="str">
        <f>Data!B289</f>
        <v>6471</v>
      </c>
      <c r="B294" s="21" t="str">
        <f>INDEX(Data[],MATCH($A294,Data[Dist],0),MATCH(B$6,Data[#Headers],0))</f>
        <v>Tripoli</v>
      </c>
      <c r="C294" s="22">
        <f>INDEX(Data[],MATCH($A294,Data[Dist],0),MATCH(C$6,Data[#Headers],0))</f>
        <v>270443</v>
      </c>
      <c r="D294" s="164">
        <f>INDEX(Data[],MATCH($A294,Data[Dist],0),MATCH(D$6,Data[#Headers],0))</f>
        <v>268686</v>
      </c>
      <c r="E294" s="164">
        <f>INDEX(Data[],MATCH($A294,Data[Dist],0),MATCH(E$6,Data[#Headers],0))</f>
        <v>268686</v>
      </c>
      <c r="F294" s="164">
        <f>INDEX(Data[],MATCH($A294,Data[Dist],0),MATCH(F$6,Data[#Headers],0))</f>
        <v>268687</v>
      </c>
      <c r="G294" s="22">
        <f>INDEX(Data[],MATCH($A294,Data[Dist],0),MATCH(G$6,Data[#Headers],0))</f>
        <v>2693889</v>
      </c>
      <c r="H294" s="22">
        <f>INDEX(Data[],MATCH($A294,Data[Dist],0),MATCH(H$6,Data[#Headers],0))-G294</f>
        <v>0</v>
      </c>
      <c r="I294" s="25"/>
      <c r="J294" s="22">
        <f>INDEX(Notes!$I$2:$N$11,MATCH(Notes!$B$2,Notes!$I$2:$I$11,0),4)*$C294</f>
        <v>1081772</v>
      </c>
      <c r="K294" s="22">
        <f>INDEX(Notes!$I$2:$N$11,MATCH(Notes!$B$2,Notes!$I$2:$I$11,0),5)*$D294</f>
        <v>537372</v>
      </c>
      <c r="L294" s="22">
        <f>INDEX(Notes!$I$2:$N$11,MATCH(Notes!$B$2,Notes!$I$2:$I$11,0),6)*$E294</f>
        <v>806058</v>
      </c>
      <c r="M294" s="22">
        <f>IF(Notes!$B$2="June",'Payment Total'!$F294,0)</f>
        <v>268687</v>
      </c>
      <c r="N294" s="22">
        <f t="shared" si="28"/>
        <v>0</v>
      </c>
      <c r="P294" s="26">
        <v>64710000</v>
      </c>
      <c r="Q294" s="26">
        <v>268687</v>
      </c>
      <c r="R294" s="21" t="str">
        <f t="shared" si="29"/>
        <v>6471</v>
      </c>
      <c r="S294" s="44" t="str">
        <f t="shared" si="30"/>
        <v>6471</v>
      </c>
      <c r="T294" s="20">
        <f t="shared" si="31"/>
        <v>0</v>
      </c>
      <c r="V294" s="46" t="s">
        <v>1097</v>
      </c>
      <c r="W294" s="26">
        <v>187305</v>
      </c>
      <c r="X294" s="21" t="str">
        <f t="shared" si="32"/>
        <v>6509</v>
      </c>
      <c r="Y294" s="44" t="str">
        <f t="shared" si="33"/>
        <v>6509</v>
      </c>
      <c r="Z294" s="45">
        <f t="shared" si="34"/>
        <v>0</v>
      </c>
    </row>
    <row r="295" spans="1:26" s="26" customFormat="1" ht="12.75" x14ac:dyDescent="0.2">
      <c r="A295" s="20" t="str">
        <f>Data!B290</f>
        <v>6509</v>
      </c>
      <c r="B295" s="21" t="str">
        <f>INDEX(Data[],MATCH($A295,Data[Dist],0),MATCH(B$6,Data[#Headers],0))</f>
        <v>Turkey Valley</v>
      </c>
      <c r="C295" s="22">
        <f>INDEX(Data[],MATCH($A295,Data[Dist],0),MATCH(C$6,Data[#Headers],0))</f>
        <v>188808</v>
      </c>
      <c r="D295" s="164">
        <f>INDEX(Data[],MATCH($A295,Data[Dist],0),MATCH(D$6,Data[#Headers],0))</f>
        <v>187306</v>
      </c>
      <c r="E295" s="164">
        <f>INDEX(Data[],MATCH($A295,Data[Dist],0),MATCH(E$6,Data[#Headers],0))</f>
        <v>187307</v>
      </c>
      <c r="F295" s="164">
        <f>INDEX(Data[],MATCH($A295,Data[Dist],0),MATCH(F$6,Data[#Headers],0))</f>
        <v>187305</v>
      </c>
      <c r="G295" s="22">
        <f>INDEX(Data[],MATCH($A295,Data[Dist],0),MATCH(G$6,Data[#Headers],0))</f>
        <v>1879070</v>
      </c>
      <c r="H295" s="22">
        <f>INDEX(Data[],MATCH($A295,Data[Dist],0),MATCH(H$6,Data[#Headers],0))-G295</f>
        <v>0</v>
      </c>
      <c r="I295" s="25"/>
      <c r="J295" s="22">
        <f>INDEX(Notes!$I$2:$N$11,MATCH(Notes!$B$2,Notes!$I$2:$I$11,0),4)*$C295</f>
        <v>755232</v>
      </c>
      <c r="K295" s="22">
        <f>INDEX(Notes!$I$2:$N$11,MATCH(Notes!$B$2,Notes!$I$2:$I$11,0),5)*$D295</f>
        <v>374612</v>
      </c>
      <c r="L295" s="22">
        <f>INDEX(Notes!$I$2:$N$11,MATCH(Notes!$B$2,Notes!$I$2:$I$11,0),6)*$E295</f>
        <v>561921</v>
      </c>
      <c r="M295" s="22">
        <f>IF(Notes!$B$2="June",'Payment Total'!$F295,0)</f>
        <v>187305</v>
      </c>
      <c r="N295" s="22">
        <f t="shared" si="28"/>
        <v>0</v>
      </c>
      <c r="P295" s="26">
        <v>65090000</v>
      </c>
      <c r="Q295" s="26">
        <v>187305</v>
      </c>
      <c r="R295" s="21" t="str">
        <f t="shared" si="29"/>
        <v>6509</v>
      </c>
      <c r="S295" s="44" t="str">
        <f t="shared" si="30"/>
        <v>6509</v>
      </c>
      <c r="T295" s="20">
        <f t="shared" si="31"/>
        <v>0</v>
      </c>
      <c r="V295" s="46" t="s">
        <v>1098</v>
      </c>
      <c r="W295" s="26">
        <v>218993</v>
      </c>
      <c r="X295" s="21" t="str">
        <f t="shared" si="32"/>
        <v>6512</v>
      </c>
      <c r="Y295" s="44" t="str">
        <f t="shared" si="33"/>
        <v>6512</v>
      </c>
      <c r="Z295" s="45">
        <f t="shared" si="34"/>
        <v>0</v>
      </c>
    </row>
    <row r="296" spans="1:26" s="26" customFormat="1" ht="12.75" x14ac:dyDescent="0.2">
      <c r="A296" s="20" t="str">
        <f>Data!B291</f>
        <v>6512</v>
      </c>
      <c r="B296" s="21" t="str">
        <f>INDEX(Data[],MATCH($A296,Data[Dist],0),MATCH(B$6,Data[#Headers],0))</f>
        <v>Twin Cedars</v>
      </c>
      <c r="C296" s="22">
        <f>INDEX(Data[],MATCH($A296,Data[Dist],0),MATCH(C$6,Data[#Headers],0))</f>
        <v>220406</v>
      </c>
      <c r="D296" s="164">
        <f>INDEX(Data[],MATCH($A296,Data[Dist],0),MATCH(D$6,Data[#Headers],0))</f>
        <v>218993</v>
      </c>
      <c r="E296" s="164">
        <f>INDEX(Data[],MATCH($A296,Data[Dist],0),MATCH(E$6,Data[#Headers],0))</f>
        <v>218993</v>
      </c>
      <c r="F296" s="164">
        <f>INDEX(Data[],MATCH($A296,Data[Dist],0),MATCH(F$6,Data[#Headers],0))</f>
        <v>218993</v>
      </c>
      <c r="G296" s="22">
        <f>INDEX(Data[],MATCH($A296,Data[Dist],0),MATCH(G$6,Data[#Headers],0))</f>
        <v>2195582</v>
      </c>
      <c r="H296" s="22">
        <f>INDEX(Data[],MATCH($A296,Data[Dist],0),MATCH(H$6,Data[#Headers],0))-G296</f>
        <v>0</v>
      </c>
      <c r="I296" s="25"/>
      <c r="J296" s="22">
        <f>INDEX(Notes!$I$2:$N$11,MATCH(Notes!$B$2,Notes!$I$2:$I$11,0),4)*$C296</f>
        <v>881624</v>
      </c>
      <c r="K296" s="22">
        <f>INDEX(Notes!$I$2:$N$11,MATCH(Notes!$B$2,Notes!$I$2:$I$11,0),5)*$D296</f>
        <v>437986</v>
      </c>
      <c r="L296" s="22">
        <f>INDEX(Notes!$I$2:$N$11,MATCH(Notes!$B$2,Notes!$I$2:$I$11,0),6)*$E296</f>
        <v>656979</v>
      </c>
      <c r="M296" s="22">
        <f>IF(Notes!$B$2="June",'Payment Total'!$F296,0)</f>
        <v>218993</v>
      </c>
      <c r="N296" s="22">
        <f t="shared" si="28"/>
        <v>0</v>
      </c>
      <c r="P296" s="26">
        <v>65120000</v>
      </c>
      <c r="Q296" s="26">
        <v>218993</v>
      </c>
      <c r="R296" s="21" t="str">
        <f t="shared" si="29"/>
        <v>6512</v>
      </c>
      <c r="S296" s="44" t="str">
        <f t="shared" si="30"/>
        <v>6512</v>
      </c>
      <c r="T296" s="20">
        <f t="shared" si="31"/>
        <v>0</v>
      </c>
      <c r="V296" s="46" t="s">
        <v>1099</v>
      </c>
      <c r="W296" s="26">
        <v>55484</v>
      </c>
      <c r="X296" s="21" t="str">
        <f t="shared" si="32"/>
        <v>6516</v>
      </c>
      <c r="Y296" s="44" t="str">
        <f t="shared" si="33"/>
        <v>6516</v>
      </c>
      <c r="Z296" s="45">
        <f t="shared" si="34"/>
        <v>0</v>
      </c>
    </row>
    <row r="297" spans="1:26" s="26" customFormat="1" ht="12.75" x14ac:dyDescent="0.2">
      <c r="A297" s="20" t="str">
        <f>Data!B292</f>
        <v>6516</v>
      </c>
      <c r="B297" s="21" t="str">
        <f>INDEX(Data[],MATCH($A297,Data[Dist],0),MATCH(B$6,Data[#Headers],0))</f>
        <v>Twin Rivers</v>
      </c>
      <c r="C297" s="22">
        <f>INDEX(Data[],MATCH($A297,Data[Dist],0),MATCH(C$6,Data[#Headers],0))</f>
        <v>56079</v>
      </c>
      <c r="D297" s="164">
        <f>INDEX(Data[],MATCH($A297,Data[Dist],0),MATCH(D$6,Data[#Headers],0))</f>
        <v>55483</v>
      </c>
      <c r="E297" s="164">
        <f>INDEX(Data[],MATCH($A297,Data[Dist],0),MATCH(E$6,Data[#Headers],0))</f>
        <v>55483</v>
      </c>
      <c r="F297" s="164">
        <f>INDEX(Data[],MATCH($A297,Data[Dist],0),MATCH(F$6,Data[#Headers],0))</f>
        <v>55484</v>
      </c>
      <c r="G297" s="22">
        <f>INDEX(Data[],MATCH($A297,Data[Dist],0),MATCH(G$6,Data[#Headers],0))</f>
        <v>557215</v>
      </c>
      <c r="H297" s="22">
        <f>INDEX(Data[],MATCH($A297,Data[Dist],0),MATCH(H$6,Data[#Headers],0))-G297</f>
        <v>0</v>
      </c>
      <c r="I297" s="25"/>
      <c r="J297" s="22">
        <f>INDEX(Notes!$I$2:$N$11,MATCH(Notes!$B$2,Notes!$I$2:$I$11,0),4)*$C297</f>
        <v>224316</v>
      </c>
      <c r="K297" s="22">
        <f>INDEX(Notes!$I$2:$N$11,MATCH(Notes!$B$2,Notes!$I$2:$I$11,0),5)*$D297</f>
        <v>110966</v>
      </c>
      <c r="L297" s="22">
        <f>INDEX(Notes!$I$2:$N$11,MATCH(Notes!$B$2,Notes!$I$2:$I$11,0),6)*$E297</f>
        <v>166449</v>
      </c>
      <c r="M297" s="22">
        <f>IF(Notes!$B$2="June",'Payment Total'!$F297,0)</f>
        <v>55484</v>
      </c>
      <c r="N297" s="22">
        <f t="shared" si="28"/>
        <v>0</v>
      </c>
      <c r="P297" s="26">
        <v>65160000</v>
      </c>
      <c r="Q297" s="26">
        <v>55484</v>
      </c>
      <c r="R297" s="21" t="str">
        <f t="shared" si="29"/>
        <v>6516</v>
      </c>
      <c r="S297" s="44" t="str">
        <f t="shared" si="30"/>
        <v>6516</v>
      </c>
      <c r="T297" s="20">
        <f t="shared" si="31"/>
        <v>0</v>
      </c>
      <c r="V297" s="46" t="s">
        <v>1100</v>
      </c>
      <c r="W297" s="26">
        <v>390423</v>
      </c>
      <c r="X297" s="21" t="str">
        <f t="shared" si="32"/>
        <v>6534</v>
      </c>
      <c r="Y297" s="44" t="str">
        <f t="shared" si="33"/>
        <v>6534</v>
      </c>
      <c r="Z297" s="45">
        <f t="shared" si="34"/>
        <v>0</v>
      </c>
    </row>
    <row r="298" spans="1:26" s="26" customFormat="1" ht="12.75" x14ac:dyDescent="0.2">
      <c r="A298" s="20" t="str">
        <f>Data!B293</f>
        <v>6534</v>
      </c>
      <c r="B298" s="21" t="str">
        <f>INDEX(Data[],MATCH($A298,Data[Dist],0),MATCH(B$6,Data[#Headers],0))</f>
        <v>Underwood</v>
      </c>
      <c r="C298" s="22">
        <f>INDEX(Data[],MATCH($A298,Data[Dist],0),MATCH(C$6,Data[#Headers],0))</f>
        <v>393342</v>
      </c>
      <c r="D298" s="164">
        <f>INDEX(Data[],MATCH($A298,Data[Dist],0),MATCH(D$6,Data[#Headers],0))</f>
        <v>390423</v>
      </c>
      <c r="E298" s="164">
        <f>INDEX(Data[],MATCH($A298,Data[Dist],0),MATCH(E$6,Data[#Headers],0))</f>
        <v>390423</v>
      </c>
      <c r="F298" s="164">
        <f>INDEX(Data[],MATCH($A298,Data[Dist],0),MATCH(F$6,Data[#Headers],0))</f>
        <v>390423</v>
      </c>
      <c r="G298" s="22">
        <f>INDEX(Data[],MATCH($A298,Data[Dist],0),MATCH(G$6,Data[#Headers],0))</f>
        <v>3915906</v>
      </c>
      <c r="H298" s="22">
        <f>INDEX(Data[],MATCH($A298,Data[Dist],0),MATCH(H$6,Data[#Headers],0))-G298</f>
        <v>0</v>
      </c>
      <c r="I298" s="25"/>
      <c r="J298" s="22">
        <f>INDEX(Notes!$I$2:$N$11,MATCH(Notes!$B$2,Notes!$I$2:$I$11,0),4)*$C298</f>
        <v>1573368</v>
      </c>
      <c r="K298" s="22">
        <f>INDEX(Notes!$I$2:$N$11,MATCH(Notes!$B$2,Notes!$I$2:$I$11,0),5)*$D298</f>
        <v>780846</v>
      </c>
      <c r="L298" s="22">
        <f>INDEX(Notes!$I$2:$N$11,MATCH(Notes!$B$2,Notes!$I$2:$I$11,0),6)*$E298</f>
        <v>1171269</v>
      </c>
      <c r="M298" s="22">
        <f>IF(Notes!$B$2="June",'Payment Total'!$F298,0)</f>
        <v>390423</v>
      </c>
      <c r="N298" s="22">
        <f t="shared" si="28"/>
        <v>0</v>
      </c>
      <c r="P298" s="26">
        <v>65340000</v>
      </c>
      <c r="Q298" s="26">
        <v>390423</v>
      </c>
      <c r="R298" s="21" t="str">
        <f t="shared" si="29"/>
        <v>6534</v>
      </c>
      <c r="S298" s="44" t="str">
        <f t="shared" si="30"/>
        <v>6534</v>
      </c>
      <c r="T298" s="20">
        <f t="shared" si="31"/>
        <v>0</v>
      </c>
      <c r="V298" s="46" t="s">
        <v>1101</v>
      </c>
      <c r="W298" s="26">
        <v>614098</v>
      </c>
      <c r="X298" s="21" t="str">
        <f t="shared" si="32"/>
        <v>6536</v>
      </c>
      <c r="Y298" s="44" t="str">
        <f t="shared" si="33"/>
        <v>1935</v>
      </c>
      <c r="Z298" s="45">
        <f t="shared" si="34"/>
        <v>0</v>
      </c>
    </row>
    <row r="299" spans="1:26" s="26" customFormat="1" ht="12.75" x14ac:dyDescent="0.2">
      <c r="A299" s="20" t="str">
        <f>Data!B294</f>
        <v>6561</v>
      </c>
      <c r="B299" s="21" t="str">
        <f>INDEX(Data[],MATCH($A299,Data[Dist],0),MATCH(B$6,Data[#Headers],0))</f>
        <v>United</v>
      </c>
      <c r="C299" s="22">
        <f>INDEX(Data[],MATCH($A299,Data[Dist],0),MATCH(C$6,Data[#Headers],0))</f>
        <v>150362</v>
      </c>
      <c r="D299" s="164">
        <f>INDEX(Data[],MATCH($A299,Data[Dist],0),MATCH(D$6,Data[#Headers],0))</f>
        <v>148809</v>
      </c>
      <c r="E299" s="164">
        <f>INDEX(Data[],MATCH($A299,Data[Dist],0),MATCH(E$6,Data[#Headers],0))</f>
        <v>148809</v>
      </c>
      <c r="F299" s="164">
        <f>INDEX(Data[],MATCH($A299,Data[Dist],0),MATCH(F$6,Data[#Headers],0))</f>
        <v>148810</v>
      </c>
      <c r="G299" s="22">
        <f>INDEX(Data[],MATCH($A299,Data[Dist],0),MATCH(G$6,Data[#Headers],0))</f>
        <v>1494303</v>
      </c>
      <c r="H299" s="22">
        <f>INDEX(Data[],MATCH($A299,Data[Dist],0),MATCH(H$6,Data[#Headers],0))-G299</f>
        <v>0</v>
      </c>
      <c r="I299" s="25"/>
      <c r="J299" s="22">
        <f>INDEX(Notes!$I$2:$N$11,MATCH(Notes!$B$2,Notes!$I$2:$I$11,0),4)*$C299</f>
        <v>601448</v>
      </c>
      <c r="K299" s="22">
        <f>INDEX(Notes!$I$2:$N$11,MATCH(Notes!$B$2,Notes!$I$2:$I$11,0),5)*$D299</f>
        <v>297618</v>
      </c>
      <c r="L299" s="22">
        <f>INDEX(Notes!$I$2:$N$11,MATCH(Notes!$B$2,Notes!$I$2:$I$11,0),6)*$E299</f>
        <v>446427</v>
      </c>
      <c r="M299" s="22">
        <f>IF(Notes!$B$2="June",'Payment Total'!$F299,0)</f>
        <v>148810</v>
      </c>
      <c r="N299" s="22">
        <f t="shared" si="28"/>
        <v>0</v>
      </c>
      <c r="P299" s="26">
        <v>65610000</v>
      </c>
      <c r="Q299" s="26">
        <v>148810</v>
      </c>
      <c r="R299" s="21" t="str">
        <f t="shared" si="29"/>
        <v>6561</v>
      </c>
      <c r="S299" s="44" t="str">
        <f t="shared" si="30"/>
        <v>6561</v>
      </c>
      <c r="T299" s="20">
        <f t="shared" si="31"/>
        <v>0</v>
      </c>
      <c r="V299" s="46" t="s">
        <v>1102</v>
      </c>
      <c r="W299" s="26">
        <v>148810</v>
      </c>
      <c r="X299" s="21" t="str">
        <f t="shared" si="32"/>
        <v>6561</v>
      </c>
      <c r="Y299" s="44" t="str">
        <f t="shared" si="33"/>
        <v>6561</v>
      </c>
      <c r="Z299" s="45">
        <f t="shared" si="34"/>
        <v>0</v>
      </c>
    </row>
    <row r="300" spans="1:26" s="26" customFormat="1" ht="12.75" x14ac:dyDescent="0.2">
      <c r="A300" s="20" t="str">
        <f>Data!B295</f>
        <v>6579</v>
      </c>
      <c r="B300" s="21" t="str">
        <f>INDEX(Data[],MATCH($A300,Data[Dist],0),MATCH(B$6,Data[#Headers],0))</f>
        <v>Urbandale</v>
      </c>
      <c r="C300" s="22">
        <f>INDEX(Data[],MATCH($A300,Data[Dist],0),MATCH(C$6,Data[#Headers],0))</f>
        <v>1955073</v>
      </c>
      <c r="D300" s="164">
        <f>INDEX(Data[],MATCH($A300,Data[Dist],0),MATCH(D$6,Data[#Headers],0))</f>
        <v>1940893</v>
      </c>
      <c r="E300" s="164">
        <f>INDEX(Data[],MATCH($A300,Data[Dist],0),MATCH(E$6,Data[#Headers],0))</f>
        <v>1940893</v>
      </c>
      <c r="F300" s="164">
        <f>INDEX(Data[],MATCH($A300,Data[Dist],0),MATCH(F$6,Data[#Headers],0))</f>
        <v>1940892</v>
      </c>
      <c r="G300" s="22">
        <f>INDEX(Data[],MATCH($A300,Data[Dist],0),MATCH(G$6,Data[#Headers],0))</f>
        <v>19465649</v>
      </c>
      <c r="H300" s="22">
        <f>INDEX(Data[],MATCH($A300,Data[Dist],0),MATCH(H$6,Data[#Headers],0))-G300</f>
        <v>0</v>
      </c>
      <c r="I300" s="25"/>
      <c r="J300" s="22">
        <f>INDEX(Notes!$I$2:$N$11,MATCH(Notes!$B$2,Notes!$I$2:$I$11,0),4)*$C300</f>
        <v>7820292</v>
      </c>
      <c r="K300" s="22">
        <f>INDEX(Notes!$I$2:$N$11,MATCH(Notes!$B$2,Notes!$I$2:$I$11,0),5)*$D300</f>
        <v>3881786</v>
      </c>
      <c r="L300" s="22">
        <f>INDEX(Notes!$I$2:$N$11,MATCH(Notes!$B$2,Notes!$I$2:$I$11,0),6)*$E300</f>
        <v>5822679</v>
      </c>
      <c r="M300" s="22">
        <f>IF(Notes!$B$2="June",'Payment Total'!$F300,0)</f>
        <v>1940892</v>
      </c>
      <c r="N300" s="22">
        <f t="shared" si="28"/>
        <v>0</v>
      </c>
      <c r="P300" s="26">
        <v>65790000</v>
      </c>
      <c r="Q300" s="26">
        <v>1940892</v>
      </c>
      <c r="R300" s="21" t="str">
        <f t="shared" si="29"/>
        <v>6579</v>
      </c>
      <c r="S300" s="44" t="str">
        <f t="shared" si="30"/>
        <v>6579</v>
      </c>
      <c r="T300" s="20">
        <f t="shared" si="31"/>
        <v>0</v>
      </c>
      <c r="V300" s="46" t="s">
        <v>1103</v>
      </c>
      <c r="W300" s="26">
        <v>1940892</v>
      </c>
      <c r="X300" s="21" t="str">
        <f t="shared" si="32"/>
        <v>6579</v>
      </c>
      <c r="Y300" s="44" t="str">
        <f t="shared" si="33"/>
        <v>6579</v>
      </c>
      <c r="Z300" s="45">
        <f t="shared" si="34"/>
        <v>0</v>
      </c>
    </row>
    <row r="301" spans="1:26" s="26" customFormat="1" ht="12.75" x14ac:dyDescent="0.2">
      <c r="A301" s="20" t="str">
        <f>Data!B296</f>
        <v>6592</v>
      </c>
      <c r="B301" s="21" t="str">
        <f>INDEX(Data[],MATCH($A301,Data[Dist],0),MATCH(B$6,Data[#Headers],0))</f>
        <v>Van Buren</v>
      </c>
      <c r="C301" s="22">
        <f>INDEX(Data[],MATCH($A301,Data[Dist],0),MATCH(C$6,Data[#Headers],0))</f>
        <v>403303</v>
      </c>
      <c r="D301" s="164">
        <f>INDEX(Data[],MATCH($A301,Data[Dist],0),MATCH(D$6,Data[#Headers],0))</f>
        <v>400648</v>
      </c>
      <c r="E301" s="164">
        <f>INDEX(Data[],MATCH($A301,Data[Dist],0),MATCH(E$6,Data[#Headers],0))</f>
        <v>400648</v>
      </c>
      <c r="F301" s="164">
        <f>INDEX(Data[],MATCH($A301,Data[Dist],0),MATCH(F$6,Data[#Headers],0))</f>
        <v>400649</v>
      </c>
      <c r="G301" s="22">
        <f>INDEX(Data[],MATCH($A301,Data[Dist],0),MATCH(G$6,Data[#Headers],0))</f>
        <v>4017101</v>
      </c>
      <c r="H301" s="22">
        <f>INDEX(Data[],MATCH($A301,Data[Dist],0),MATCH(H$6,Data[#Headers],0))-G301</f>
        <v>0</v>
      </c>
      <c r="I301" s="25"/>
      <c r="J301" s="22">
        <f>INDEX(Notes!$I$2:$N$11,MATCH(Notes!$B$2,Notes!$I$2:$I$11,0),4)*$C301</f>
        <v>1613212</v>
      </c>
      <c r="K301" s="22">
        <f>INDEX(Notes!$I$2:$N$11,MATCH(Notes!$B$2,Notes!$I$2:$I$11,0),5)*$D301</f>
        <v>801296</v>
      </c>
      <c r="L301" s="22">
        <f>INDEX(Notes!$I$2:$N$11,MATCH(Notes!$B$2,Notes!$I$2:$I$11,0),6)*$E301</f>
        <v>1201944</v>
      </c>
      <c r="M301" s="22">
        <f>IF(Notes!$B$2="June",'Payment Total'!$F301,0)</f>
        <v>400649</v>
      </c>
      <c r="N301" s="22">
        <f t="shared" si="28"/>
        <v>0</v>
      </c>
      <c r="P301" s="26">
        <v>65920000</v>
      </c>
      <c r="Q301" s="26">
        <v>400649</v>
      </c>
      <c r="R301" s="21" t="str">
        <f t="shared" si="29"/>
        <v>6592</v>
      </c>
      <c r="S301" s="44" t="str">
        <f t="shared" si="30"/>
        <v>6592</v>
      </c>
      <c r="T301" s="20">
        <f t="shared" si="31"/>
        <v>0</v>
      </c>
      <c r="V301" s="46" t="s">
        <v>1104</v>
      </c>
      <c r="W301" s="26">
        <v>400649</v>
      </c>
      <c r="X301" s="21" t="str">
        <f t="shared" si="32"/>
        <v>6592</v>
      </c>
      <c r="Y301" s="44" t="str">
        <f t="shared" si="33"/>
        <v>6592</v>
      </c>
      <c r="Z301" s="45">
        <f t="shared" si="34"/>
        <v>0</v>
      </c>
    </row>
    <row r="302" spans="1:26" s="26" customFormat="1" ht="12.75" x14ac:dyDescent="0.2">
      <c r="A302" s="20" t="str">
        <f>Data!B297</f>
        <v>6615</v>
      </c>
      <c r="B302" s="21" t="str">
        <f>INDEX(Data[],MATCH($A302,Data[Dist],0),MATCH(B$6,Data[#Headers],0))</f>
        <v>Van Meter</v>
      </c>
      <c r="C302" s="22">
        <f>INDEX(Data[],MATCH($A302,Data[Dist],0),MATCH(C$6,Data[#Headers],0))</f>
        <v>386391</v>
      </c>
      <c r="D302" s="164">
        <f>INDEX(Data[],MATCH($A302,Data[Dist],0),MATCH(D$6,Data[#Headers],0))</f>
        <v>383509</v>
      </c>
      <c r="E302" s="164">
        <f>INDEX(Data[],MATCH($A302,Data[Dist],0),MATCH(E$6,Data[#Headers],0))</f>
        <v>383510</v>
      </c>
      <c r="F302" s="164">
        <f>INDEX(Data[],MATCH($A302,Data[Dist],0),MATCH(F$6,Data[#Headers],0))</f>
        <v>383508</v>
      </c>
      <c r="G302" s="22">
        <f>INDEX(Data[],MATCH($A302,Data[Dist],0),MATCH(G$6,Data[#Headers],0))</f>
        <v>3846620</v>
      </c>
      <c r="H302" s="22">
        <f>INDEX(Data[],MATCH($A302,Data[Dist],0),MATCH(H$6,Data[#Headers],0))-G302</f>
        <v>0</v>
      </c>
      <c r="I302" s="25"/>
      <c r="J302" s="22">
        <f>INDEX(Notes!$I$2:$N$11,MATCH(Notes!$B$2,Notes!$I$2:$I$11,0),4)*$C302</f>
        <v>1545564</v>
      </c>
      <c r="K302" s="22">
        <f>INDEX(Notes!$I$2:$N$11,MATCH(Notes!$B$2,Notes!$I$2:$I$11,0),5)*$D302</f>
        <v>767018</v>
      </c>
      <c r="L302" s="22">
        <f>INDEX(Notes!$I$2:$N$11,MATCH(Notes!$B$2,Notes!$I$2:$I$11,0),6)*$E302</f>
        <v>1150530</v>
      </c>
      <c r="M302" s="22">
        <f>IF(Notes!$B$2="June",'Payment Total'!$F302,0)</f>
        <v>383508</v>
      </c>
      <c r="N302" s="22">
        <f t="shared" si="28"/>
        <v>0</v>
      </c>
      <c r="P302" s="26">
        <v>66150000</v>
      </c>
      <c r="Q302" s="26">
        <v>383508</v>
      </c>
      <c r="R302" s="21" t="str">
        <f t="shared" si="29"/>
        <v>6615</v>
      </c>
      <c r="S302" s="44" t="str">
        <f t="shared" si="30"/>
        <v>6615</v>
      </c>
      <c r="T302" s="20">
        <f t="shared" si="31"/>
        <v>0</v>
      </c>
      <c r="V302" s="46" t="s">
        <v>1105</v>
      </c>
      <c r="W302" s="26">
        <v>383508</v>
      </c>
      <c r="X302" s="21" t="str">
        <f t="shared" si="32"/>
        <v>6615</v>
      </c>
      <c r="Y302" s="44" t="str">
        <f t="shared" si="33"/>
        <v>6615</v>
      </c>
      <c r="Z302" s="45">
        <f t="shared" si="34"/>
        <v>0</v>
      </c>
    </row>
    <row r="303" spans="1:26" s="26" customFormat="1" ht="12.75" x14ac:dyDescent="0.2">
      <c r="A303" s="20" t="str">
        <f>Data!B298</f>
        <v>6651</v>
      </c>
      <c r="B303" s="21" t="str">
        <f>INDEX(Data[],MATCH($A303,Data[Dist],0),MATCH(B$6,Data[#Headers],0))</f>
        <v>Villisca</v>
      </c>
      <c r="C303" s="22">
        <f>INDEX(Data[],MATCH($A303,Data[Dist],0),MATCH(C$6,Data[#Headers],0))</f>
        <v>163013</v>
      </c>
      <c r="D303" s="164">
        <f>INDEX(Data[],MATCH($A303,Data[Dist],0),MATCH(D$6,Data[#Headers],0))</f>
        <v>161773</v>
      </c>
      <c r="E303" s="164">
        <f>INDEX(Data[],MATCH($A303,Data[Dist],0),MATCH(E$6,Data[#Headers],0))</f>
        <v>161773</v>
      </c>
      <c r="F303" s="164">
        <f>INDEX(Data[],MATCH($A303,Data[Dist],0),MATCH(F$6,Data[#Headers],0))</f>
        <v>161771</v>
      </c>
      <c r="G303" s="22">
        <f>INDEX(Data[],MATCH($A303,Data[Dist],0),MATCH(G$6,Data[#Headers],0))</f>
        <v>1622688</v>
      </c>
      <c r="H303" s="22">
        <f>INDEX(Data[],MATCH($A303,Data[Dist],0),MATCH(H$6,Data[#Headers],0))-G303</f>
        <v>0</v>
      </c>
      <c r="I303" s="25"/>
      <c r="J303" s="22">
        <f>INDEX(Notes!$I$2:$N$11,MATCH(Notes!$B$2,Notes!$I$2:$I$11,0),4)*$C303</f>
        <v>652052</v>
      </c>
      <c r="K303" s="22">
        <f>INDEX(Notes!$I$2:$N$11,MATCH(Notes!$B$2,Notes!$I$2:$I$11,0),5)*$D303</f>
        <v>323546</v>
      </c>
      <c r="L303" s="22">
        <f>INDEX(Notes!$I$2:$N$11,MATCH(Notes!$B$2,Notes!$I$2:$I$11,0),6)*$E303</f>
        <v>485319</v>
      </c>
      <c r="M303" s="22">
        <f>IF(Notes!$B$2="June",'Payment Total'!$F303,0)</f>
        <v>161771</v>
      </c>
      <c r="N303" s="22">
        <f t="shared" si="28"/>
        <v>0</v>
      </c>
      <c r="P303" s="26">
        <v>66510000</v>
      </c>
      <c r="Q303" s="26">
        <v>161771</v>
      </c>
      <c r="R303" s="21" t="str">
        <f t="shared" si="29"/>
        <v>6651</v>
      </c>
      <c r="S303" s="44" t="str">
        <f t="shared" si="30"/>
        <v>6651</v>
      </c>
      <c r="T303" s="20">
        <f t="shared" si="31"/>
        <v>0</v>
      </c>
      <c r="V303" s="46" t="s">
        <v>1106</v>
      </c>
      <c r="W303" s="26">
        <v>161771</v>
      </c>
      <c r="X303" s="21" t="str">
        <f t="shared" si="32"/>
        <v>6651</v>
      </c>
      <c r="Y303" s="44" t="str">
        <f t="shared" si="33"/>
        <v>6651</v>
      </c>
      <c r="Z303" s="45">
        <f t="shared" si="34"/>
        <v>0</v>
      </c>
    </row>
    <row r="304" spans="1:26" s="26" customFormat="1" ht="12.75" x14ac:dyDescent="0.2">
      <c r="A304" s="20" t="str">
        <f>Data!B299</f>
        <v>6660</v>
      </c>
      <c r="B304" s="21" t="str">
        <f>INDEX(Data[],MATCH($A304,Data[Dist],0),MATCH(B$6,Data[#Headers],0))</f>
        <v>Vinton-Shellsburg</v>
      </c>
      <c r="C304" s="22">
        <f>INDEX(Data[],MATCH($A304,Data[Dist],0),MATCH(C$6,Data[#Headers],0))</f>
        <v>944313</v>
      </c>
      <c r="D304" s="164">
        <f>INDEX(Data[],MATCH($A304,Data[Dist],0),MATCH(D$6,Data[#Headers],0))</f>
        <v>937885</v>
      </c>
      <c r="E304" s="164">
        <f>INDEX(Data[],MATCH($A304,Data[Dist],0),MATCH(E$6,Data[#Headers],0))</f>
        <v>937885</v>
      </c>
      <c r="F304" s="164">
        <f>INDEX(Data[],MATCH($A304,Data[Dist],0),MATCH(F$6,Data[#Headers],0))</f>
        <v>937884</v>
      </c>
      <c r="G304" s="22">
        <f>INDEX(Data[],MATCH($A304,Data[Dist],0),MATCH(G$6,Data[#Headers],0))</f>
        <v>9404561</v>
      </c>
      <c r="H304" s="22">
        <f>INDEX(Data[],MATCH($A304,Data[Dist],0),MATCH(H$6,Data[#Headers],0))-G304</f>
        <v>0</v>
      </c>
      <c r="I304" s="25"/>
      <c r="J304" s="22">
        <f>INDEX(Notes!$I$2:$N$11,MATCH(Notes!$B$2,Notes!$I$2:$I$11,0),4)*$C304</f>
        <v>3777252</v>
      </c>
      <c r="K304" s="22">
        <f>INDEX(Notes!$I$2:$N$11,MATCH(Notes!$B$2,Notes!$I$2:$I$11,0),5)*$D304</f>
        <v>1875770</v>
      </c>
      <c r="L304" s="22">
        <f>INDEX(Notes!$I$2:$N$11,MATCH(Notes!$B$2,Notes!$I$2:$I$11,0),6)*$E304</f>
        <v>2813655</v>
      </c>
      <c r="M304" s="22">
        <f>IF(Notes!$B$2="June",'Payment Total'!$F304,0)</f>
        <v>937884</v>
      </c>
      <c r="N304" s="22">
        <f t="shared" si="28"/>
        <v>0</v>
      </c>
      <c r="P304" s="26">
        <v>66600000</v>
      </c>
      <c r="Q304" s="26">
        <v>937884</v>
      </c>
      <c r="R304" s="21" t="str">
        <f t="shared" si="29"/>
        <v>6660</v>
      </c>
      <c r="S304" s="44" t="str">
        <f t="shared" si="30"/>
        <v>6660</v>
      </c>
      <c r="T304" s="20">
        <f t="shared" si="31"/>
        <v>0</v>
      </c>
      <c r="V304" s="46" t="s">
        <v>1107</v>
      </c>
      <c r="W304" s="26">
        <v>937884</v>
      </c>
      <c r="X304" s="21" t="str">
        <f t="shared" si="32"/>
        <v>6660</v>
      </c>
      <c r="Y304" s="44" t="str">
        <f t="shared" si="33"/>
        <v>6660</v>
      </c>
      <c r="Z304" s="45">
        <f t="shared" si="34"/>
        <v>0</v>
      </c>
    </row>
    <row r="305" spans="1:26" s="26" customFormat="1" ht="12.75" x14ac:dyDescent="0.2">
      <c r="A305" s="20" t="str">
        <f>Data!B300</f>
        <v>6700</v>
      </c>
      <c r="B305" s="21" t="str">
        <f>INDEX(Data[],MATCH($A305,Data[Dist],0),MATCH(B$6,Data[#Headers],0))</f>
        <v>Waco</v>
      </c>
      <c r="C305" s="22">
        <f>INDEX(Data[],MATCH($A305,Data[Dist],0),MATCH(C$6,Data[#Headers],0))</f>
        <v>313545</v>
      </c>
      <c r="D305" s="164">
        <f>INDEX(Data[],MATCH($A305,Data[Dist],0),MATCH(D$6,Data[#Headers],0))</f>
        <v>311547</v>
      </c>
      <c r="E305" s="164">
        <f>INDEX(Data[],MATCH($A305,Data[Dist],0),MATCH(E$6,Data[#Headers],0))</f>
        <v>311547</v>
      </c>
      <c r="F305" s="164">
        <f>INDEX(Data[],MATCH($A305,Data[Dist],0),MATCH(F$6,Data[#Headers],0))</f>
        <v>311545</v>
      </c>
      <c r="G305" s="22">
        <f>INDEX(Data[],MATCH($A305,Data[Dist],0),MATCH(G$6,Data[#Headers],0))</f>
        <v>3123460</v>
      </c>
      <c r="H305" s="22">
        <f>INDEX(Data[],MATCH($A305,Data[Dist],0),MATCH(H$6,Data[#Headers],0))-G305</f>
        <v>0</v>
      </c>
      <c r="I305" s="25"/>
      <c r="J305" s="22">
        <f>INDEX(Notes!$I$2:$N$11,MATCH(Notes!$B$2,Notes!$I$2:$I$11,0),4)*$C305</f>
        <v>1254180</v>
      </c>
      <c r="K305" s="22">
        <f>INDEX(Notes!$I$2:$N$11,MATCH(Notes!$B$2,Notes!$I$2:$I$11,0),5)*$D305</f>
        <v>623094</v>
      </c>
      <c r="L305" s="22">
        <f>INDEX(Notes!$I$2:$N$11,MATCH(Notes!$B$2,Notes!$I$2:$I$11,0),6)*$E305</f>
        <v>934641</v>
      </c>
      <c r="M305" s="22">
        <f>IF(Notes!$B$2="June",'Payment Total'!$F305,0)</f>
        <v>311545</v>
      </c>
      <c r="N305" s="22">
        <f t="shared" si="28"/>
        <v>0</v>
      </c>
      <c r="P305" s="26">
        <v>67000000</v>
      </c>
      <c r="Q305" s="26">
        <v>311545</v>
      </c>
      <c r="R305" s="21" t="str">
        <f t="shared" si="29"/>
        <v>6700</v>
      </c>
      <c r="S305" s="44" t="str">
        <f t="shared" si="30"/>
        <v>6700</v>
      </c>
      <c r="T305" s="20">
        <f t="shared" si="31"/>
        <v>0</v>
      </c>
      <c r="V305" s="46" t="s">
        <v>1108</v>
      </c>
      <c r="W305" s="26">
        <v>311545</v>
      </c>
      <c r="X305" s="21" t="str">
        <f t="shared" si="32"/>
        <v>6700</v>
      </c>
      <c r="Y305" s="44" t="str">
        <f t="shared" si="33"/>
        <v>6700</v>
      </c>
      <c r="Z305" s="45">
        <f t="shared" si="34"/>
        <v>0</v>
      </c>
    </row>
    <row r="306" spans="1:26" s="26" customFormat="1" ht="12.75" x14ac:dyDescent="0.2">
      <c r="A306" s="20" t="str">
        <f>Data!B301</f>
        <v>6741</v>
      </c>
      <c r="B306" s="21" t="str">
        <f>INDEX(Data[],MATCH($A306,Data[Dist],0),MATCH(B$6,Data[#Headers],0))</f>
        <v>East Sac County</v>
      </c>
      <c r="C306" s="22">
        <f>INDEX(Data[],MATCH($A306,Data[Dist],0),MATCH(C$6,Data[#Headers],0))</f>
        <v>453436</v>
      </c>
      <c r="D306" s="164">
        <f>INDEX(Data[],MATCH($A306,Data[Dist],0),MATCH(D$6,Data[#Headers],0))</f>
        <v>449914</v>
      </c>
      <c r="E306" s="164">
        <f>INDEX(Data[],MATCH($A306,Data[Dist],0),MATCH(E$6,Data[#Headers],0))</f>
        <v>437140</v>
      </c>
      <c r="F306" s="164">
        <f>INDEX(Data[],MATCH($A306,Data[Dist],0),MATCH(F$6,Data[#Headers],0))</f>
        <v>437138</v>
      </c>
      <c r="G306" s="22">
        <f>INDEX(Data[],MATCH($A306,Data[Dist],0),MATCH(G$6,Data[#Headers],0))</f>
        <v>4462130</v>
      </c>
      <c r="H306" s="22">
        <f>INDEX(Data[],MATCH($A306,Data[Dist],0),MATCH(H$6,Data[#Headers],0))-G306</f>
        <v>0</v>
      </c>
      <c r="I306" s="25"/>
      <c r="J306" s="22">
        <f>INDEX(Notes!$I$2:$N$11,MATCH(Notes!$B$2,Notes!$I$2:$I$11,0),4)*$C306</f>
        <v>1813744</v>
      </c>
      <c r="K306" s="22">
        <f>INDEX(Notes!$I$2:$N$11,MATCH(Notes!$B$2,Notes!$I$2:$I$11,0),5)*$D306</f>
        <v>899828</v>
      </c>
      <c r="L306" s="22">
        <f>INDEX(Notes!$I$2:$N$11,MATCH(Notes!$B$2,Notes!$I$2:$I$11,0),6)*$E306</f>
        <v>1311420</v>
      </c>
      <c r="M306" s="22">
        <f>IF(Notes!$B$2="June",'Payment Total'!$F306,0)</f>
        <v>437138</v>
      </c>
      <c r="N306" s="22">
        <f t="shared" si="28"/>
        <v>0</v>
      </c>
      <c r="P306" s="26">
        <v>67410000</v>
      </c>
      <c r="Q306" s="26">
        <v>437138</v>
      </c>
      <c r="R306" s="21" t="str">
        <f t="shared" si="29"/>
        <v>6741</v>
      </c>
      <c r="S306" s="44" t="str">
        <f t="shared" si="30"/>
        <v>6741</v>
      </c>
      <c r="T306" s="20">
        <f t="shared" si="31"/>
        <v>0</v>
      </c>
      <c r="V306" s="46" t="s">
        <v>907</v>
      </c>
      <c r="W306" s="26">
        <v>437138</v>
      </c>
      <c r="X306" s="21" t="str">
        <f t="shared" si="32"/>
        <v>6741</v>
      </c>
      <c r="Y306" s="44" t="str">
        <f t="shared" si="33"/>
        <v>6741</v>
      </c>
      <c r="Z306" s="45">
        <f t="shared" si="34"/>
        <v>0</v>
      </c>
    </row>
    <row r="307" spans="1:26" s="26" customFormat="1" ht="12.75" x14ac:dyDescent="0.2">
      <c r="A307" s="20" t="str">
        <f>Data!B302</f>
        <v>6759</v>
      </c>
      <c r="B307" s="21" t="str">
        <f>INDEX(Data[],MATCH($A307,Data[Dist],0),MATCH(B$6,Data[#Headers],0))</f>
        <v>Wapello</v>
      </c>
      <c r="C307" s="22">
        <f>INDEX(Data[],MATCH($A307,Data[Dist],0),MATCH(C$6,Data[#Headers],0))</f>
        <v>403001</v>
      </c>
      <c r="D307" s="164">
        <f>INDEX(Data[],MATCH($A307,Data[Dist],0),MATCH(D$6,Data[#Headers],0))</f>
        <v>400428</v>
      </c>
      <c r="E307" s="164">
        <f>INDEX(Data[],MATCH($A307,Data[Dist],0),MATCH(E$6,Data[#Headers],0))</f>
        <v>400428</v>
      </c>
      <c r="F307" s="164">
        <f>INDEX(Data[],MATCH($A307,Data[Dist],0),MATCH(F$6,Data[#Headers],0))</f>
        <v>400428</v>
      </c>
      <c r="G307" s="22">
        <f>INDEX(Data[],MATCH($A307,Data[Dist],0),MATCH(G$6,Data[#Headers],0))</f>
        <v>4014572</v>
      </c>
      <c r="H307" s="22">
        <f>INDEX(Data[],MATCH($A307,Data[Dist],0),MATCH(H$6,Data[#Headers],0))-G307</f>
        <v>0</v>
      </c>
      <c r="I307" s="25"/>
      <c r="J307" s="22">
        <f>INDEX(Notes!$I$2:$N$11,MATCH(Notes!$B$2,Notes!$I$2:$I$11,0),4)*$C307</f>
        <v>1612004</v>
      </c>
      <c r="K307" s="22">
        <f>INDEX(Notes!$I$2:$N$11,MATCH(Notes!$B$2,Notes!$I$2:$I$11,0),5)*$D307</f>
        <v>800856</v>
      </c>
      <c r="L307" s="22">
        <f>INDEX(Notes!$I$2:$N$11,MATCH(Notes!$B$2,Notes!$I$2:$I$11,0),6)*$E307</f>
        <v>1201284</v>
      </c>
      <c r="M307" s="22">
        <f>IF(Notes!$B$2="June",'Payment Total'!$F307,0)</f>
        <v>400428</v>
      </c>
      <c r="N307" s="22">
        <f t="shared" si="28"/>
        <v>0</v>
      </c>
      <c r="P307" s="26">
        <v>67590000</v>
      </c>
      <c r="Q307" s="26">
        <v>400428</v>
      </c>
      <c r="R307" s="21" t="str">
        <f t="shared" si="29"/>
        <v>6759</v>
      </c>
      <c r="S307" s="44" t="str">
        <f t="shared" si="30"/>
        <v>6759</v>
      </c>
      <c r="T307" s="20">
        <f t="shared" si="31"/>
        <v>0</v>
      </c>
      <c r="V307" s="46" t="s">
        <v>1109</v>
      </c>
      <c r="W307" s="26">
        <v>400428</v>
      </c>
      <c r="X307" s="21" t="str">
        <f t="shared" si="32"/>
        <v>6759</v>
      </c>
      <c r="Y307" s="44" t="str">
        <f t="shared" si="33"/>
        <v>6759</v>
      </c>
      <c r="Z307" s="45">
        <f t="shared" si="34"/>
        <v>0</v>
      </c>
    </row>
    <row r="308" spans="1:26" s="26" customFormat="1" ht="12.75" x14ac:dyDescent="0.2">
      <c r="A308" s="20" t="str">
        <f>Data!B303</f>
        <v>6762</v>
      </c>
      <c r="B308" s="21" t="str">
        <f>INDEX(Data[],MATCH($A308,Data[Dist],0),MATCH(B$6,Data[#Headers],0))</f>
        <v>Wapsie Valley</v>
      </c>
      <c r="C308" s="22">
        <f>INDEX(Data[],MATCH($A308,Data[Dist],0),MATCH(C$6,Data[#Headers],0))</f>
        <v>422117</v>
      </c>
      <c r="D308" s="164">
        <f>INDEX(Data[],MATCH($A308,Data[Dist],0),MATCH(D$6,Data[#Headers],0))</f>
        <v>419285</v>
      </c>
      <c r="E308" s="164">
        <f>INDEX(Data[],MATCH($A308,Data[Dist],0),MATCH(E$6,Data[#Headers],0))</f>
        <v>419285</v>
      </c>
      <c r="F308" s="164">
        <f>INDEX(Data[],MATCH($A308,Data[Dist],0),MATCH(F$6,Data[#Headers],0))</f>
        <v>419284</v>
      </c>
      <c r="G308" s="22">
        <f>INDEX(Data[],MATCH($A308,Data[Dist],0),MATCH(G$6,Data[#Headers],0))</f>
        <v>4204177</v>
      </c>
      <c r="H308" s="22">
        <f>INDEX(Data[],MATCH($A308,Data[Dist],0),MATCH(H$6,Data[#Headers],0))-G308</f>
        <v>0</v>
      </c>
      <c r="I308" s="25"/>
      <c r="J308" s="22">
        <f>INDEX(Notes!$I$2:$N$11,MATCH(Notes!$B$2,Notes!$I$2:$I$11,0),4)*$C308</f>
        <v>1688468</v>
      </c>
      <c r="K308" s="22">
        <f>INDEX(Notes!$I$2:$N$11,MATCH(Notes!$B$2,Notes!$I$2:$I$11,0),5)*$D308</f>
        <v>838570</v>
      </c>
      <c r="L308" s="22">
        <f>INDEX(Notes!$I$2:$N$11,MATCH(Notes!$B$2,Notes!$I$2:$I$11,0),6)*$E308</f>
        <v>1257855</v>
      </c>
      <c r="M308" s="22">
        <f>IF(Notes!$B$2="June",'Payment Total'!$F308,0)</f>
        <v>419284</v>
      </c>
      <c r="N308" s="22">
        <f t="shared" si="28"/>
        <v>0</v>
      </c>
      <c r="P308" s="26">
        <v>67620000</v>
      </c>
      <c r="Q308" s="26">
        <v>419284</v>
      </c>
      <c r="R308" s="21" t="str">
        <f t="shared" si="29"/>
        <v>6762</v>
      </c>
      <c r="S308" s="44" t="str">
        <f t="shared" si="30"/>
        <v>6762</v>
      </c>
      <c r="T308" s="20">
        <f t="shared" si="31"/>
        <v>0</v>
      </c>
      <c r="V308" s="46" t="s">
        <v>1110</v>
      </c>
      <c r="W308" s="26">
        <v>419284</v>
      </c>
      <c r="X308" s="21" t="str">
        <f t="shared" si="32"/>
        <v>6762</v>
      </c>
      <c r="Y308" s="44" t="str">
        <f t="shared" si="33"/>
        <v>6762</v>
      </c>
      <c r="Z308" s="45">
        <f t="shared" si="34"/>
        <v>0</v>
      </c>
    </row>
    <row r="309" spans="1:26" s="26" customFormat="1" ht="12.75" x14ac:dyDescent="0.2">
      <c r="A309" s="20" t="str">
        <f>Data!B304</f>
        <v>6768</v>
      </c>
      <c r="B309" s="21" t="str">
        <f>INDEX(Data[],MATCH($A309,Data[Dist],0),MATCH(B$6,Data[#Headers],0))</f>
        <v>Washington</v>
      </c>
      <c r="C309" s="22">
        <f>INDEX(Data[],MATCH($A309,Data[Dist],0),MATCH(C$6,Data[#Headers],0))</f>
        <v>1195312</v>
      </c>
      <c r="D309" s="164">
        <f>INDEX(Data[],MATCH($A309,Data[Dist],0),MATCH(D$6,Data[#Headers],0))</f>
        <v>1187910</v>
      </c>
      <c r="E309" s="164">
        <f>INDEX(Data[],MATCH($A309,Data[Dist],0),MATCH(E$6,Data[#Headers],0))</f>
        <v>1187910</v>
      </c>
      <c r="F309" s="164">
        <f>INDEX(Data[],MATCH($A309,Data[Dist],0),MATCH(F$6,Data[#Headers],0))</f>
        <v>1187909</v>
      </c>
      <c r="G309" s="22">
        <f>INDEX(Data[],MATCH($A309,Data[Dist],0),MATCH(G$6,Data[#Headers],0))</f>
        <v>11908707</v>
      </c>
      <c r="H309" s="22">
        <f>INDEX(Data[],MATCH($A309,Data[Dist],0),MATCH(H$6,Data[#Headers],0))-G309</f>
        <v>0</v>
      </c>
      <c r="I309" s="25"/>
      <c r="J309" s="22">
        <f>INDEX(Notes!$I$2:$N$11,MATCH(Notes!$B$2,Notes!$I$2:$I$11,0),4)*$C309</f>
        <v>4781248</v>
      </c>
      <c r="K309" s="22">
        <f>INDEX(Notes!$I$2:$N$11,MATCH(Notes!$B$2,Notes!$I$2:$I$11,0),5)*$D309</f>
        <v>2375820</v>
      </c>
      <c r="L309" s="22">
        <f>INDEX(Notes!$I$2:$N$11,MATCH(Notes!$B$2,Notes!$I$2:$I$11,0),6)*$E309</f>
        <v>3563730</v>
      </c>
      <c r="M309" s="22">
        <f>IF(Notes!$B$2="June",'Payment Total'!$F309,0)</f>
        <v>1187909</v>
      </c>
      <c r="N309" s="22">
        <f t="shared" si="28"/>
        <v>0</v>
      </c>
      <c r="P309" s="26">
        <v>67680000</v>
      </c>
      <c r="Q309" s="26">
        <v>1187909</v>
      </c>
      <c r="R309" s="21" t="str">
        <f t="shared" si="29"/>
        <v>6768</v>
      </c>
      <c r="S309" s="44" t="str">
        <f t="shared" si="30"/>
        <v>6768</v>
      </c>
      <c r="T309" s="20">
        <f t="shared" si="31"/>
        <v>0</v>
      </c>
      <c r="V309" s="46" t="s">
        <v>1111</v>
      </c>
      <c r="W309" s="26">
        <v>1187909</v>
      </c>
      <c r="X309" s="21" t="str">
        <f t="shared" si="32"/>
        <v>6768</v>
      </c>
      <c r="Y309" s="44" t="str">
        <f t="shared" si="33"/>
        <v>6768</v>
      </c>
      <c r="Z309" s="45">
        <f t="shared" si="34"/>
        <v>0</v>
      </c>
    </row>
    <row r="310" spans="1:26" s="26" customFormat="1" ht="12.75" x14ac:dyDescent="0.2">
      <c r="A310" s="20" t="str">
        <f>Data!B305</f>
        <v>6795</v>
      </c>
      <c r="B310" s="21" t="str">
        <f>INDEX(Data[],MATCH($A310,Data[Dist],0),MATCH(B$6,Data[#Headers],0))</f>
        <v>Waterloo</v>
      </c>
      <c r="C310" s="22">
        <f>INDEX(Data[],MATCH($A310,Data[Dist],0),MATCH(C$6,Data[#Headers],0))</f>
        <v>7831148</v>
      </c>
      <c r="D310" s="164">
        <f>INDEX(Data[],MATCH($A310,Data[Dist],0),MATCH(D$6,Data[#Headers],0))</f>
        <v>7785858</v>
      </c>
      <c r="E310" s="164">
        <f>INDEX(Data[],MATCH($A310,Data[Dist],0),MATCH(E$6,Data[#Headers],0))</f>
        <v>7785857</v>
      </c>
      <c r="F310" s="164">
        <f>INDEX(Data[],MATCH($A310,Data[Dist],0),MATCH(F$6,Data[#Headers],0))</f>
        <v>7785858</v>
      </c>
      <c r="G310" s="22">
        <f>INDEX(Data[],MATCH($A310,Data[Dist],0),MATCH(G$6,Data[#Headers],0))</f>
        <v>78039737</v>
      </c>
      <c r="H310" s="22">
        <f>INDEX(Data[],MATCH($A310,Data[Dist],0),MATCH(H$6,Data[#Headers],0))-G310</f>
        <v>0</v>
      </c>
      <c r="I310" s="25"/>
      <c r="J310" s="22">
        <f>INDEX(Notes!$I$2:$N$11,MATCH(Notes!$B$2,Notes!$I$2:$I$11,0),4)*$C310</f>
        <v>31324592</v>
      </c>
      <c r="K310" s="22">
        <f>INDEX(Notes!$I$2:$N$11,MATCH(Notes!$B$2,Notes!$I$2:$I$11,0),5)*$D310</f>
        <v>15571716</v>
      </c>
      <c r="L310" s="22">
        <f>INDEX(Notes!$I$2:$N$11,MATCH(Notes!$B$2,Notes!$I$2:$I$11,0),6)*$E310</f>
        <v>23357571</v>
      </c>
      <c r="M310" s="22">
        <f>IF(Notes!$B$2="June",'Payment Total'!$F310,0)</f>
        <v>7785858</v>
      </c>
      <c r="N310" s="22">
        <f t="shared" si="28"/>
        <v>0</v>
      </c>
      <c r="P310" s="26">
        <v>67950000</v>
      </c>
      <c r="Q310" s="26">
        <v>7785858</v>
      </c>
      <c r="R310" s="21" t="str">
        <f t="shared" si="29"/>
        <v>6795</v>
      </c>
      <c r="S310" s="44" t="str">
        <f t="shared" si="30"/>
        <v>6795</v>
      </c>
      <c r="T310" s="20">
        <f t="shared" si="31"/>
        <v>0</v>
      </c>
      <c r="V310" s="46" t="s">
        <v>1112</v>
      </c>
      <c r="W310" s="26">
        <v>7785858</v>
      </c>
      <c r="X310" s="21" t="str">
        <f t="shared" si="32"/>
        <v>6795</v>
      </c>
      <c r="Y310" s="44" t="str">
        <f t="shared" si="33"/>
        <v>6795</v>
      </c>
      <c r="Z310" s="45">
        <f t="shared" si="34"/>
        <v>0</v>
      </c>
    </row>
    <row r="311" spans="1:26" s="26" customFormat="1" ht="12.75" x14ac:dyDescent="0.2">
      <c r="A311" s="20" t="str">
        <f>Data!B306</f>
        <v>6822</v>
      </c>
      <c r="B311" s="21" t="str">
        <f>INDEX(Data[],MATCH($A311,Data[Dist],0),MATCH(B$6,Data[#Headers],0))</f>
        <v>Waukee</v>
      </c>
      <c r="C311" s="22">
        <f>INDEX(Data[],MATCH($A311,Data[Dist],0),MATCH(C$6,Data[#Headers],0))</f>
        <v>5645509</v>
      </c>
      <c r="D311" s="164">
        <f>INDEX(Data[],MATCH($A311,Data[Dist],0),MATCH(D$6,Data[#Headers],0))</f>
        <v>5601381</v>
      </c>
      <c r="E311" s="164">
        <f>INDEX(Data[],MATCH($A311,Data[Dist],0),MATCH(E$6,Data[#Headers],0))</f>
        <v>5601381</v>
      </c>
      <c r="F311" s="164">
        <f>INDEX(Data[],MATCH($A311,Data[Dist],0),MATCH(F$6,Data[#Headers],0))</f>
        <v>5601380</v>
      </c>
      <c r="G311" s="22">
        <f>INDEX(Data[],MATCH($A311,Data[Dist],0),MATCH(G$6,Data[#Headers],0))</f>
        <v>56190321</v>
      </c>
      <c r="H311" s="22">
        <f>INDEX(Data[],MATCH($A311,Data[Dist],0),MATCH(H$6,Data[#Headers],0))-G311</f>
        <v>0</v>
      </c>
      <c r="I311" s="25"/>
      <c r="J311" s="22">
        <f>INDEX(Notes!$I$2:$N$11,MATCH(Notes!$B$2,Notes!$I$2:$I$11,0),4)*$C311</f>
        <v>22582036</v>
      </c>
      <c r="K311" s="22">
        <f>INDEX(Notes!$I$2:$N$11,MATCH(Notes!$B$2,Notes!$I$2:$I$11,0),5)*$D311</f>
        <v>11202762</v>
      </c>
      <c r="L311" s="22">
        <f>INDEX(Notes!$I$2:$N$11,MATCH(Notes!$B$2,Notes!$I$2:$I$11,0),6)*$E311</f>
        <v>16804143</v>
      </c>
      <c r="M311" s="22">
        <f>IF(Notes!$B$2="June",'Payment Total'!$F311,0)</f>
        <v>5601380</v>
      </c>
      <c r="N311" s="22">
        <f t="shared" si="28"/>
        <v>0</v>
      </c>
      <c r="P311" s="26">
        <v>68220000</v>
      </c>
      <c r="Q311" s="26">
        <v>5601380</v>
      </c>
      <c r="R311" s="21" t="str">
        <f t="shared" si="29"/>
        <v>6822</v>
      </c>
      <c r="S311" s="44" t="str">
        <f t="shared" si="30"/>
        <v>6822</v>
      </c>
      <c r="T311" s="20">
        <f t="shared" si="31"/>
        <v>0</v>
      </c>
      <c r="V311" s="46" t="s">
        <v>1113</v>
      </c>
      <c r="W311" s="26">
        <v>5601380</v>
      </c>
      <c r="X311" s="21" t="str">
        <f t="shared" si="32"/>
        <v>6822</v>
      </c>
      <c r="Y311" s="44" t="str">
        <f t="shared" si="33"/>
        <v>6822</v>
      </c>
      <c r="Z311" s="45">
        <f t="shared" si="34"/>
        <v>0</v>
      </c>
    </row>
    <row r="312" spans="1:26" s="26" customFormat="1" ht="12.75" x14ac:dyDescent="0.2">
      <c r="A312" s="20" t="str">
        <f>Data!B307</f>
        <v>6840</v>
      </c>
      <c r="B312" s="21" t="str">
        <f>INDEX(Data[],MATCH($A312,Data[Dist],0),MATCH(B$6,Data[#Headers],0))</f>
        <v>Waverly-Shell Rock</v>
      </c>
      <c r="C312" s="22">
        <f>INDEX(Data[],MATCH($A312,Data[Dist],0),MATCH(C$6,Data[#Headers],0))</f>
        <v>1236628</v>
      </c>
      <c r="D312" s="164">
        <f>INDEX(Data[],MATCH($A312,Data[Dist],0),MATCH(D$6,Data[#Headers],0))</f>
        <v>1227971</v>
      </c>
      <c r="E312" s="164">
        <f>INDEX(Data[],MATCH($A312,Data[Dist],0),MATCH(E$6,Data[#Headers],0))</f>
        <v>1227970</v>
      </c>
      <c r="F312" s="164">
        <f>INDEX(Data[],MATCH($A312,Data[Dist],0),MATCH(F$6,Data[#Headers],0))</f>
        <v>1227971</v>
      </c>
      <c r="G312" s="22">
        <f>INDEX(Data[],MATCH($A312,Data[Dist],0),MATCH(G$6,Data[#Headers],0))</f>
        <v>12314335</v>
      </c>
      <c r="H312" s="22">
        <f>INDEX(Data[],MATCH($A312,Data[Dist],0),MATCH(H$6,Data[#Headers],0))-G312</f>
        <v>0</v>
      </c>
      <c r="I312" s="25"/>
      <c r="J312" s="22">
        <f>INDEX(Notes!$I$2:$N$11,MATCH(Notes!$B$2,Notes!$I$2:$I$11,0),4)*$C312</f>
        <v>4946512</v>
      </c>
      <c r="K312" s="22">
        <f>INDEX(Notes!$I$2:$N$11,MATCH(Notes!$B$2,Notes!$I$2:$I$11,0),5)*$D312</f>
        <v>2455942</v>
      </c>
      <c r="L312" s="22">
        <f>INDEX(Notes!$I$2:$N$11,MATCH(Notes!$B$2,Notes!$I$2:$I$11,0),6)*$E312</f>
        <v>3683910</v>
      </c>
      <c r="M312" s="22">
        <f>IF(Notes!$B$2="June",'Payment Total'!$F312,0)</f>
        <v>1227971</v>
      </c>
      <c r="N312" s="22">
        <f t="shared" si="28"/>
        <v>0</v>
      </c>
      <c r="P312" s="26">
        <v>68400000</v>
      </c>
      <c r="Q312" s="26">
        <v>1227971</v>
      </c>
      <c r="R312" s="21" t="str">
        <f t="shared" si="29"/>
        <v>6840</v>
      </c>
      <c r="S312" s="44" t="str">
        <f t="shared" si="30"/>
        <v>6840</v>
      </c>
      <c r="T312" s="20">
        <f t="shared" si="31"/>
        <v>0</v>
      </c>
      <c r="V312" s="46" t="s">
        <v>1114</v>
      </c>
      <c r="W312" s="26">
        <v>1227971</v>
      </c>
      <c r="X312" s="21" t="str">
        <f t="shared" si="32"/>
        <v>6840</v>
      </c>
      <c r="Y312" s="44" t="str">
        <f t="shared" si="33"/>
        <v>6840</v>
      </c>
      <c r="Z312" s="45">
        <f t="shared" si="34"/>
        <v>0</v>
      </c>
    </row>
    <row r="313" spans="1:26" s="26" customFormat="1" ht="12.75" x14ac:dyDescent="0.2">
      <c r="A313" s="20" t="str">
        <f>Data!B308</f>
        <v>6854</v>
      </c>
      <c r="B313" s="21" t="str">
        <f>INDEX(Data[],MATCH($A313,Data[Dist],0),MATCH(B$6,Data[#Headers],0))</f>
        <v>Wayne</v>
      </c>
      <c r="C313" s="22">
        <f>INDEX(Data[],MATCH($A313,Data[Dist],0),MATCH(C$6,Data[#Headers],0))</f>
        <v>334810</v>
      </c>
      <c r="D313" s="164">
        <f>INDEX(Data[],MATCH($A313,Data[Dist],0),MATCH(D$6,Data[#Headers],0))</f>
        <v>332414</v>
      </c>
      <c r="E313" s="164">
        <f>INDEX(Data[],MATCH($A313,Data[Dist],0),MATCH(E$6,Data[#Headers],0))</f>
        <v>332414</v>
      </c>
      <c r="F313" s="164">
        <f>INDEX(Data[],MATCH($A313,Data[Dist],0),MATCH(F$6,Data[#Headers],0))</f>
        <v>332414</v>
      </c>
      <c r="G313" s="22">
        <f>INDEX(Data[],MATCH($A313,Data[Dist],0),MATCH(G$6,Data[#Headers],0))</f>
        <v>3333724</v>
      </c>
      <c r="H313" s="22">
        <f>INDEX(Data[],MATCH($A313,Data[Dist],0),MATCH(H$6,Data[#Headers],0))-G313</f>
        <v>0</v>
      </c>
      <c r="I313" s="25"/>
      <c r="J313" s="22">
        <f>INDEX(Notes!$I$2:$N$11,MATCH(Notes!$B$2,Notes!$I$2:$I$11,0),4)*$C313</f>
        <v>1339240</v>
      </c>
      <c r="K313" s="22">
        <f>INDEX(Notes!$I$2:$N$11,MATCH(Notes!$B$2,Notes!$I$2:$I$11,0),5)*$D313</f>
        <v>664828</v>
      </c>
      <c r="L313" s="22">
        <f>INDEX(Notes!$I$2:$N$11,MATCH(Notes!$B$2,Notes!$I$2:$I$11,0),6)*$E313</f>
        <v>997242</v>
      </c>
      <c r="M313" s="22">
        <f>IF(Notes!$B$2="June",'Payment Total'!$F313,0)</f>
        <v>332414</v>
      </c>
      <c r="N313" s="22">
        <f t="shared" si="28"/>
        <v>0</v>
      </c>
      <c r="P313" s="26">
        <v>68540000</v>
      </c>
      <c r="Q313" s="26">
        <v>332414</v>
      </c>
      <c r="R313" s="21" t="str">
        <f t="shared" si="29"/>
        <v>6854</v>
      </c>
      <c r="S313" s="44" t="str">
        <f t="shared" si="30"/>
        <v>6854</v>
      </c>
      <c r="T313" s="20">
        <f t="shared" si="31"/>
        <v>0</v>
      </c>
      <c r="V313" s="46" t="s">
        <v>1115</v>
      </c>
      <c r="W313" s="26">
        <v>332414</v>
      </c>
      <c r="X313" s="21" t="str">
        <f t="shared" si="32"/>
        <v>6854</v>
      </c>
      <c r="Y313" s="44" t="str">
        <f t="shared" si="33"/>
        <v>6854</v>
      </c>
      <c r="Z313" s="45">
        <f t="shared" si="34"/>
        <v>0</v>
      </c>
    </row>
    <row r="314" spans="1:26" s="26" customFormat="1" ht="12.75" x14ac:dyDescent="0.2">
      <c r="A314" s="20" t="str">
        <f>Data!B309</f>
        <v>6867</v>
      </c>
      <c r="B314" s="21" t="str">
        <f>INDEX(Data[],MATCH($A314,Data[Dist],0),MATCH(B$6,Data[#Headers],0))</f>
        <v>Webster City</v>
      </c>
      <c r="C314" s="22">
        <f>INDEX(Data[],MATCH($A314,Data[Dist],0),MATCH(C$6,Data[#Headers],0))</f>
        <v>1070113</v>
      </c>
      <c r="D314" s="164">
        <f>INDEX(Data[],MATCH($A314,Data[Dist],0),MATCH(D$6,Data[#Headers],0))</f>
        <v>1063839</v>
      </c>
      <c r="E314" s="164">
        <f>INDEX(Data[],MATCH($A314,Data[Dist],0),MATCH(E$6,Data[#Headers],0))</f>
        <v>1063840</v>
      </c>
      <c r="F314" s="164">
        <f>INDEX(Data[],MATCH($A314,Data[Dist],0),MATCH(F$6,Data[#Headers],0))</f>
        <v>1063838</v>
      </c>
      <c r="G314" s="22">
        <f>INDEX(Data[],MATCH($A314,Data[Dist],0),MATCH(G$6,Data[#Headers],0))</f>
        <v>10663488</v>
      </c>
      <c r="H314" s="22">
        <f>INDEX(Data[],MATCH($A314,Data[Dist],0),MATCH(H$6,Data[#Headers],0))-G314</f>
        <v>0</v>
      </c>
      <c r="I314" s="25"/>
      <c r="J314" s="22">
        <f>INDEX(Notes!$I$2:$N$11,MATCH(Notes!$B$2,Notes!$I$2:$I$11,0),4)*$C314</f>
        <v>4280452</v>
      </c>
      <c r="K314" s="22">
        <f>INDEX(Notes!$I$2:$N$11,MATCH(Notes!$B$2,Notes!$I$2:$I$11,0),5)*$D314</f>
        <v>2127678</v>
      </c>
      <c r="L314" s="22">
        <f>INDEX(Notes!$I$2:$N$11,MATCH(Notes!$B$2,Notes!$I$2:$I$11,0),6)*$E314</f>
        <v>3191520</v>
      </c>
      <c r="M314" s="22">
        <f>IF(Notes!$B$2="June",'Payment Total'!$F314,0)</f>
        <v>1063838</v>
      </c>
      <c r="N314" s="22">
        <f t="shared" si="28"/>
        <v>0</v>
      </c>
      <c r="P314" s="26">
        <v>68670000</v>
      </c>
      <c r="Q314" s="26">
        <v>1063838</v>
      </c>
      <c r="R314" s="21" t="str">
        <f t="shared" si="29"/>
        <v>6867</v>
      </c>
      <c r="S314" s="44" t="str">
        <f t="shared" si="30"/>
        <v>6867</v>
      </c>
      <c r="T314" s="20">
        <f t="shared" si="31"/>
        <v>0</v>
      </c>
      <c r="V314" s="46" t="s">
        <v>1116</v>
      </c>
      <c r="W314" s="26">
        <v>1063838</v>
      </c>
      <c r="X314" s="21" t="str">
        <f t="shared" si="32"/>
        <v>6867</v>
      </c>
      <c r="Y314" s="44" t="str">
        <f t="shared" si="33"/>
        <v>6867</v>
      </c>
      <c r="Z314" s="45">
        <f t="shared" si="34"/>
        <v>0</v>
      </c>
    </row>
    <row r="315" spans="1:26" s="26" customFormat="1" ht="12.75" x14ac:dyDescent="0.2">
      <c r="A315" s="20" t="str">
        <f>Data!B310</f>
        <v>6921</v>
      </c>
      <c r="B315" s="21" t="str">
        <f>INDEX(Data[],MATCH($A315,Data[Dist],0),MATCH(B$6,Data[#Headers],0))</f>
        <v>West Bend-Mallard</v>
      </c>
      <c r="C315" s="22">
        <f>INDEX(Data[],MATCH($A315,Data[Dist],0),MATCH(C$6,Data[#Headers],0))</f>
        <v>128715</v>
      </c>
      <c r="D315" s="164">
        <f>INDEX(Data[],MATCH($A315,Data[Dist],0),MATCH(D$6,Data[#Headers],0))</f>
        <v>127524</v>
      </c>
      <c r="E315" s="164">
        <f>INDEX(Data[],MATCH($A315,Data[Dist],0),MATCH(E$6,Data[#Headers],0))</f>
        <v>123439</v>
      </c>
      <c r="F315" s="164">
        <f>INDEX(Data[],MATCH($A315,Data[Dist],0),MATCH(F$6,Data[#Headers],0))</f>
        <v>123437</v>
      </c>
      <c r="G315" s="22">
        <f>INDEX(Data[],MATCH($A315,Data[Dist],0),MATCH(G$6,Data[#Headers],0))</f>
        <v>1263662</v>
      </c>
      <c r="H315" s="22">
        <f>INDEX(Data[],MATCH($A315,Data[Dist],0),MATCH(H$6,Data[#Headers],0))-G315</f>
        <v>0</v>
      </c>
      <c r="I315" s="25"/>
      <c r="J315" s="22">
        <f>INDEX(Notes!$I$2:$N$11,MATCH(Notes!$B$2,Notes!$I$2:$I$11,0),4)*$C315</f>
        <v>514860</v>
      </c>
      <c r="K315" s="22">
        <f>INDEX(Notes!$I$2:$N$11,MATCH(Notes!$B$2,Notes!$I$2:$I$11,0),5)*$D315</f>
        <v>255048</v>
      </c>
      <c r="L315" s="22">
        <f>INDEX(Notes!$I$2:$N$11,MATCH(Notes!$B$2,Notes!$I$2:$I$11,0),6)*$E315</f>
        <v>370317</v>
      </c>
      <c r="M315" s="22">
        <f>IF(Notes!$B$2="June",'Payment Total'!$F315,0)</f>
        <v>123437</v>
      </c>
      <c r="N315" s="22">
        <f t="shared" si="28"/>
        <v>0</v>
      </c>
      <c r="P315" s="26">
        <v>69210000</v>
      </c>
      <c r="Q315" s="26">
        <v>123437</v>
      </c>
      <c r="R315" s="21" t="str">
        <f t="shared" si="29"/>
        <v>6921</v>
      </c>
      <c r="S315" s="44" t="str">
        <f t="shared" si="30"/>
        <v>6921</v>
      </c>
      <c r="T315" s="20">
        <f t="shared" si="31"/>
        <v>0</v>
      </c>
      <c r="V315" s="46" t="s">
        <v>1117</v>
      </c>
      <c r="W315" s="26">
        <v>123437</v>
      </c>
      <c r="X315" s="21" t="str">
        <f t="shared" si="32"/>
        <v>6921</v>
      </c>
      <c r="Y315" s="44" t="str">
        <f t="shared" si="33"/>
        <v>6921</v>
      </c>
      <c r="Z315" s="45">
        <f t="shared" si="34"/>
        <v>0</v>
      </c>
    </row>
    <row r="316" spans="1:26" s="26" customFormat="1" ht="12.75" x14ac:dyDescent="0.2">
      <c r="A316" s="20" t="str">
        <f>Data!B311</f>
        <v>6930</v>
      </c>
      <c r="B316" s="21" t="str">
        <f>INDEX(Data[],MATCH($A316,Data[Dist],0),MATCH(B$6,Data[#Headers],0))</f>
        <v>West Branch</v>
      </c>
      <c r="C316" s="22">
        <f>INDEX(Data[],MATCH($A316,Data[Dist],0),MATCH(C$6,Data[#Headers],0))</f>
        <v>401663</v>
      </c>
      <c r="D316" s="164">
        <f>INDEX(Data[],MATCH($A316,Data[Dist],0),MATCH(D$6,Data[#Headers],0))</f>
        <v>398440</v>
      </c>
      <c r="E316" s="164">
        <f>INDEX(Data[],MATCH($A316,Data[Dist],0),MATCH(E$6,Data[#Headers],0))</f>
        <v>398440</v>
      </c>
      <c r="F316" s="164">
        <f>INDEX(Data[],MATCH($A316,Data[Dist],0),MATCH(F$6,Data[#Headers],0))</f>
        <v>398438</v>
      </c>
      <c r="G316" s="22">
        <f>INDEX(Data[],MATCH($A316,Data[Dist],0),MATCH(G$6,Data[#Headers],0))</f>
        <v>3997290</v>
      </c>
      <c r="H316" s="22">
        <f>INDEX(Data[],MATCH($A316,Data[Dist],0),MATCH(H$6,Data[#Headers],0))-G316</f>
        <v>0</v>
      </c>
      <c r="I316" s="25"/>
      <c r="J316" s="22">
        <f>INDEX(Notes!$I$2:$N$11,MATCH(Notes!$B$2,Notes!$I$2:$I$11,0),4)*$C316</f>
        <v>1606652</v>
      </c>
      <c r="K316" s="22">
        <f>INDEX(Notes!$I$2:$N$11,MATCH(Notes!$B$2,Notes!$I$2:$I$11,0),5)*$D316</f>
        <v>796880</v>
      </c>
      <c r="L316" s="22">
        <f>INDEX(Notes!$I$2:$N$11,MATCH(Notes!$B$2,Notes!$I$2:$I$11,0),6)*$E316</f>
        <v>1195320</v>
      </c>
      <c r="M316" s="22">
        <f>IF(Notes!$B$2="June",'Payment Total'!$F316,0)</f>
        <v>398438</v>
      </c>
      <c r="N316" s="22">
        <f t="shared" si="28"/>
        <v>0</v>
      </c>
      <c r="P316" s="26">
        <v>69300000</v>
      </c>
      <c r="Q316" s="26">
        <v>398438</v>
      </c>
      <c r="R316" s="21" t="str">
        <f t="shared" si="29"/>
        <v>6930</v>
      </c>
      <c r="S316" s="44" t="str">
        <f t="shared" si="30"/>
        <v>6930</v>
      </c>
      <c r="T316" s="20">
        <f t="shared" si="31"/>
        <v>0</v>
      </c>
      <c r="V316" s="46" t="s">
        <v>1118</v>
      </c>
      <c r="W316" s="26">
        <v>398438</v>
      </c>
      <c r="X316" s="21" t="str">
        <f t="shared" si="32"/>
        <v>6930</v>
      </c>
      <c r="Y316" s="44" t="str">
        <f t="shared" si="33"/>
        <v>6930</v>
      </c>
      <c r="Z316" s="45">
        <f t="shared" si="34"/>
        <v>0</v>
      </c>
    </row>
    <row r="317" spans="1:26" s="26" customFormat="1" ht="12.75" x14ac:dyDescent="0.2">
      <c r="A317" s="20" t="str">
        <f>Data!B312</f>
        <v>6937</v>
      </c>
      <c r="B317" s="21" t="str">
        <f>INDEX(Data[],MATCH($A317,Data[Dist],0),MATCH(B$6,Data[#Headers],0))</f>
        <v>West Burlington</v>
      </c>
      <c r="C317" s="22">
        <f>INDEX(Data[],MATCH($A317,Data[Dist],0),MATCH(C$6,Data[#Headers],0))</f>
        <v>287280</v>
      </c>
      <c r="D317" s="164">
        <f>INDEX(Data[],MATCH($A317,Data[Dist],0),MATCH(D$6,Data[#Headers],0))</f>
        <v>285343</v>
      </c>
      <c r="E317" s="164">
        <f>INDEX(Data[],MATCH($A317,Data[Dist],0),MATCH(E$6,Data[#Headers],0))</f>
        <v>285344</v>
      </c>
      <c r="F317" s="164">
        <f>INDEX(Data[],MATCH($A317,Data[Dist],0),MATCH(F$6,Data[#Headers],0))</f>
        <v>285342</v>
      </c>
      <c r="G317" s="22">
        <f>INDEX(Data[],MATCH($A317,Data[Dist],0),MATCH(G$6,Data[#Headers],0))</f>
        <v>2861180</v>
      </c>
      <c r="H317" s="22">
        <f>INDEX(Data[],MATCH($A317,Data[Dist],0),MATCH(H$6,Data[#Headers],0))-G317</f>
        <v>0</v>
      </c>
      <c r="I317" s="25"/>
      <c r="J317" s="22">
        <f>INDEX(Notes!$I$2:$N$11,MATCH(Notes!$B$2,Notes!$I$2:$I$11,0),4)*$C317</f>
        <v>1149120</v>
      </c>
      <c r="K317" s="22">
        <f>INDEX(Notes!$I$2:$N$11,MATCH(Notes!$B$2,Notes!$I$2:$I$11,0),5)*$D317</f>
        <v>570686</v>
      </c>
      <c r="L317" s="22">
        <f>INDEX(Notes!$I$2:$N$11,MATCH(Notes!$B$2,Notes!$I$2:$I$11,0),6)*$E317</f>
        <v>856032</v>
      </c>
      <c r="M317" s="22">
        <f>IF(Notes!$B$2="June",'Payment Total'!$F317,0)</f>
        <v>285342</v>
      </c>
      <c r="N317" s="22">
        <f>SUM(J317:M317)-G317</f>
        <v>0</v>
      </c>
      <c r="P317" s="26">
        <v>69370000</v>
      </c>
      <c r="Q317" s="26">
        <v>285342</v>
      </c>
      <c r="R317" s="21" t="str">
        <f t="shared" si="29"/>
        <v>6937</v>
      </c>
      <c r="S317" s="44" t="str">
        <f t="shared" si="30"/>
        <v>6937</v>
      </c>
      <c r="T317" s="20">
        <f t="shared" si="31"/>
        <v>0</v>
      </c>
      <c r="V317" s="46" t="s">
        <v>1119</v>
      </c>
      <c r="W317" s="26">
        <v>285342</v>
      </c>
      <c r="X317" s="21" t="str">
        <f t="shared" si="32"/>
        <v>6937</v>
      </c>
      <c r="Y317" s="44" t="str">
        <f t="shared" si="33"/>
        <v>6937</v>
      </c>
      <c r="Z317" s="45">
        <f t="shared" si="34"/>
        <v>0</v>
      </c>
    </row>
    <row r="318" spans="1:26" s="26" customFormat="1" ht="12.75" x14ac:dyDescent="0.2">
      <c r="A318" s="20" t="str">
        <f>Data!B313</f>
        <v>6943</v>
      </c>
      <c r="B318" s="21" t="str">
        <f>INDEX(Data[],MATCH($A318,Data[Dist],0),MATCH(B$6,Data[#Headers],0))</f>
        <v>West Central</v>
      </c>
      <c r="C318" s="22">
        <f>INDEX(Data[],MATCH($A318,Data[Dist],0),MATCH(C$6,Data[#Headers],0))</f>
        <v>126619</v>
      </c>
      <c r="D318" s="164">
        <f>INDEX(Data[],MATCH($A318,Data[Dist],0),MATCH(D$6,Data[#Headers],0))</f>
        <v>125536</v>
      </c>
      <c r="E318" s="164">
        <f>INDEX(Data[],MATCH($A318,Data[Dist],0),MATCH(E$6,Data[#Headers],0))</f>
        <v>125536</v>
      </c>
      <c r="F318" s="164">
        <f>INDEX(Data[],MATCH($A318,Data[Dist],0),MATCH(F$6,Data[#Headers],0))</f>
        <v>125535</v>
      </c>
      <c r="G318" s="22">
        <f>INDEX(Data[],MATCH($A318,Data[Dist],0),MATCH(G$6,Data[#Headers],0))</f>
        <v>1259691</v>
      </c>
      <c r="H318" s="22">
        <f>INDEX(Data[],MATCH($A318,Data[Dist],0),MATCH(H$6,Data[#Headers],0))-G318</f>
        <v>0</v>
      </c>
      <c r="I318" s="25"/>
      <c r="J318" s="22">
        <f>INDEX(Notes!$I$2:$N$11,MATCH(Notes!$B$2,Notes!$I$2:$I$11,0),4)*$C318</f>
        <v>506476</v>
      </c>
      <c r="K318" s="22">
        <f>INDEX(Notes!$I$2:$N$11,MATCH(Notes!$B$2,Notes!$I$2:$I$11,0),5)*$D318</f>
        <v>251072</v>
      </c>
      <c r="L318" s="22">
        <f>INDEX(Notes!$I$2:$N$11,MATCH(Notes!$B$2,Notes!$I$2:$I$11,0),6)*$E318</f>
        <v>376608</v>
      </c>
      <c r="M318" s="22">
        <f>IF(Notes!$B$2="June",'Payment Total'!$F318,0)</f>
        <v>125535</v>
      </c>
      <c r="N318" s="22">
        <f t="shared" si="28"/>
        <v>0</v>
      </c>
      <c r="P318" s="26">
        <v>69430000</v>
      </c>
      <c r="Q318" s="26">
        <v>125535</v>
      </c>
      <c r="R318" s="21" t="str">
        <f t="shared" si="29"/>
        <v>6943</v>
      </c>
      <c r="S318" s="44" t="str">
        <f t="shared" si="30"/>
        <v>6943</v>
      </c>
      <c r="T318" s="20">
        <f t="shared" si="31"/>
        <v>0</v>
      </c>
      <c r="V318" s="46" t="s">
        <v>1120</v>
      </c>
      <c r="W318" s="26">
        <v>125535</v>
      </c>
      <c r="X318" s="21" t="str">
        <f t="shared" si="32"/>
        <v>6943</v>
      </c>
      <c r="Y318" s="44" t="str">
        <f t="shared" si="33"/>
        <v>6943</v>
      </c>
      <c r="Z318" s="45">
        <f t="shared" si="34"/>
        <v>0</v>
      </c>
    </row>
    <row r="319" spans="1:26" s="26" customFormat="1" ht="12.75" x14ac:dyDescent="0.2">
      <c r="A319" s="20" t="str">
        <f>Data!B314</f>
        <v>6950</v>
      </c>
      <c r="B319" s="21" t="str">
        <f>INDEX(Data[],MATCH($A319,Data[Dist],0),MATCH(B$6,Data[#Headers],0))</f>
        <v>West Delaware Co</v>
      </c>
      <c r="C319" s="22">
        <f>INDEX(Data[],MATCH($A319,Data[Dist],0),MATCH(C$6,Data[#Headers],0))</f>
        <v>816372</v>
      </c>
      <c r="D319" s="164">
        <f>INDEX(Data[],MATCH($A319,Data[Dist],0),MATCH(D$6,Data[#Headers],0))</f>
        <v>810364</v>
      </c>
      <c r="E319" s="164">
        <f>INDEX(Data[],MATCH($A319,Data[Dist],0),MATCH(E$6,Data[#Headers],0))</f>
        <v>810365</v>
      </c>
      <c r="F319" s="164">
        <f>INDEX(Data[],MATCH($A319,Data[Dist],0),MATCH(F$6,Data[#Headers],0))</f>
        <v>810363</v>
      </c>
      <c r="G319" s="22">
        <f>INDEX(Data[],MATCH($A319,Data[Dist],0),MATCH(G$6,Data[#Headers],0))</f>
        <v>8127674</v>
      </c>
      <c r="H319" s="22">
        <f>INDEX(Data[],MATCH($A319,Data[Dist],0),MATCH(H$6,Data[#Headers],0))-G319</f>
        <v>0</v>
      </c>
      <c r="I319" s="25"/>
      <c r="J319" s="22">
        <f>INDEX(Notes!$I$2:$N$11,MATCH(Notes!$B$2,Notes!$I$2:$I$11,0),4)*$C319</f>
        <v>3265488</v>
      </c>
      <c r="K319" s="22">
        <f>INDEX(Notes!$I$2:$N$11,MATCH(Notes!$B$2,Notes!$I$2:$I$11,0),5)*$D319</f>
        <v>1620728</v>
      </c>
      <c r="L319" s="22">
        <f>INDEX(Notes!$I$2:$N$11,MATCH(Notes!$B$2,Notes!$I$2:$I$11,0),6)*$E319</f>
        <v>2431095</v>
      </c>
      <c r="M319" s="22">
        <f>IF(Notes!$B$2="June",'Payment Total'!$F319,0)</f>
        <v>810363</v>
      </c>
      <c r="N319" s="22">
        <f t="shared" si="28"/>
        <v>0</v>
      </c>
      <c r="P319" s="26">
        <v>69500000</v>
      </c>
      <c r="Q319" s="26">
        <v>810363</v>
      </c>
      <c r="R319" s="21" t="str">
        <f t="shared" si="29"/>
        <v>6950</v>
      </c>
      <c r="S319" s="44" t="str">
        <f t="shared" si="30"/>
        <v>6950</v>
      </c>
      <c r="T319" s="20">
        <f t="shared" si="31"/>
        <v>0</v>
      </c>
      <c r="V319" s="46" t="s">
        <v>1122</v>
      </c>
      <c r="W319" s="26">
        <v>810363</v>
      </c>
      <c r="X319" s="21" t="str">
        <f t="shared" si="32"/>
        <v>6950</v>
      </c>
      <c r="Y319" s="44" t="str">
        <f t="shared" si="33"/>
        <v>6950</v>
      </c>
      <c r="Z319" s="45">
        <f t="shared" si="34"/>
        <v>0</v>
      </c>
    </row>
    <row r="320" spans="1:26" s="26" customFormat="1" ht="12.75" x14ac:dyDescent="0.2">
      <c r="A320" s="20" t="str">
        <f>Data!B315</f>
        <v>6957</v>
      </c>
      <c r="B320" s="21" t="str">
        <f>INDEX(Data[],MATCH($A320,Data[Dist],0),MATCH(B$6,Data[#Headers],0))</f>
        <v>West Des Moines</v>
      </c>
      <c r="C320" s="22">
        <f>INDEX(Data[],MATCH($A320,Data[Dist],0),MATCH(C$6,Data[#Headers],0))</f>
        <v>4362268</v>
      </c>
      <c r="D320" s="164">
        <f>INDEX(Data[],MATCH($A320,Data[Dist],0),MATCH(D$6,Data[#Headers],0))</f>
        <v>4325141</v>
      </c>
      <c r="E320" s="164">
        <f>INDEX(Data[],MATCH($A320,Data[Dist],0),MATCH(E$6,Data[#Headers],0))</f>
        <v>4325140</v>
      </c>
      <c r="F320" s="164">
        <f>INDEX(Data[],MATCH($A320,Data[Dist],0),MATCH(F$6,Data[#Headers],0))</f>
        <v>4325141</v>
      </c>
      <c r="G320" s="22">
        <f>INDEX(Data[],MATCH($A320,Data[Dist],0),MATCH(G$6,Data[#Headers],0))</f>
        <v>43399915</v>
      </c>
      <c r="H320" s="22">
        <f>INDEX(Data[],MATCH($A320,Data[Dist],0),MATCH(H$6,Data[#Headers],0))-G320</f>
        <v>0</v>
      </c>
      <c r="I320" s="25"/>
      <c r="J320" s="22">
        <f>INDEX(Notes!$I$2:$N$11,MATCH(Notes!$B$2,Notes!$I$2:$I$11,0),4)*$C320</f>
        <v>17449072</v>
      </c>
      <c r="K320" s="22">
        <f>INDEX(Notes!$I$2:$N$11,MATCH(Notes!$B$2,Notes!$I$2:$I$11,0),5)*$D320</f>
        <v>8650282</v>
      </c>
      <c r="L320" s="22">
        <f>INDEX(Notes!$I$2:$N$11,MATCH(Notes!$B$2,Notes!$I$2:$I$11,0),6)*$E320</f>
        <v>12975420</v>
      </c>
      <c r="M320" s="22">
        <f>IF(Notes!$B$2="June",'Payment Total'!$F320,0)</f>
        <v>4325141</v>
      </c>
      <c r="N320" s="22">
        <f t="shared" si="28"/>
        <v>0</v>
      </c>
      <c r="P320" s="26">
        <v>69570000</v>
      </c>
      <c r="Q320" s="26">
        <v>4325141</v>
      </c>
      <c r="R320" s="21" t="str">
        <f t="shared" si="29"/>
        <v>6957</v>
      </c>
      <c r="S320" s="44" t="str">
        <f t="shared" si="30"/>
        <v>6957</v>
      </c>
      <c r="T320" s="20">
        <f t="shared" si="31"/>
        <v>0</v>
      </c>
      <c r="V320" s="46" t="s">
        <v>1123</v>
      </c>
      <c r="W320" s="26">
        <v>4325141</v>
      </c>
      <c r="X320" s="21" t="str">
        <f t="shared" si="32"/>
        <v>6957</v>
      </c>
      <c r="Y320" s="44" t="str">
        <f t="shared" si="33"/>
        <v>6957</v>
      </c>
      <c r="Z320" s="45">
        <f t="shared" si="34"/>
        <v>0</v>
      </c>
    </row>
    <row r="321" spans="1:26" s="26" customFormat="1" ht="12.75" x14ac:dyDescent="0.2">
      <c r="A321" s="20" t="str">
        <f>Data!B316</f>
        <v>6961</v>
      </c>
      <c r="B321" s="21" t="str">
        <f>INDEX(Data[],MATCH($A321,Data[Dist],0),MATCH(B$6,Data[#Headers],0))</f>
        <v>Western Dubuque Co</v>
      </c>
      <c r="C321" s="22">
        <f>INDEX(Data[],MATCH($A321,Data[Dist],0),MATCH(C$6,Data[#Headers],0))</f>
        <v>1657224</v>
      </c>
      <c r="D321" s="164">
        <f>INDEX(Data[],MATCH($A321,Data[Dist],0),MATCH(D$6,Data[#Headers],0))</f>
        <v>1644320</v>
      </c>
      <c r="E321" s="164">
        <f>INDEX(Data[],MATCH($A321,Data[Dist],0),MATCH(E$6,Data[#Headers],0))</f>
        <v>1644320</v>
      </c>
      <c r="F321" s="164">
        <f>INDEX(Data[],MATCH($A321,Data[Dist],0),MATCH(F$6,Data[#Headers],0))</f>
        <v>1644321</v>
      </c>
      <c r="G321" s="22">
        <f>INDEX(Data[],MATCH($A321,Data[Dist],0),MATCH(G$6,Data[#Headers],0))</f>
        <v>16494817</v>
      </c>
      <c r="H321" s="22">
        <f>INDEX(Data[],MATCH($A321,Data[Dist],0),MATCH(H$6,Data[#Headers],0))-G321</f>
        <v>0</v>
      </c>
      <c r="I321" s="25"/>
      <c r="J321" s="22">
        <f>INDEX(Notes!$I$2:$N$11,MATCH(Notes!$B$2,Notes!$I$2:$I$11,0),4)*$C321</f>
        <v>6628896</v>
      </c>
      <c r="K321" s="22">
        <f>INDEX(Notes!$I$2:$N$11,MATCH(Notes!$B$2,Notes!$I$2:$I$11,0),5)*$D321</f>
        <v>3288640</v>
      </c>
      <c r="L321" s="22">
        <f>INDEX(Notes!$I$2:$N$11,MATCH(Notes!$B$2,Notes!$I$2:$I$11,0),6)*$E321</f>
        <v>4932960</v>
      </c>
      <c r="M321" s="22">
        <f>IF(Notes!$B$2="June",'Payment Total'!$F321,0)</f>
        <v>1644321</v>
      </c>
      <c r="N321" s="22">
        <f t="shared" si="28"/>
        <v>0</v>
      </c>
      <c r="P321" s="26">
        <v>69610000</v>
      </c>
      <c r="Q321" s="26">
        <v>1644321</v>
      </c>
      <c r="R321" s="21" t="str">
        <f t="shared" si="29"/>
        <v>6961</v>
      </c>
      <c r="S321" s="44" t="str">
        <f t="shared" si="30"/>
        <v>6961</v>
      </c>
      <c r="T321" s="20">
        <f t="shared" si="31"/>
        <v>0</v>
      </c>
      <c r="V321" s="46" t="s">
        <v>1132</v>
      </c>
      <c r="W321" s="26">
        <v>1644321</v>
      </c>
      <c r="X321" s="21" t="str">
        <f t="shared" si="32"/>
        <v>6961</v>
      </c>
      <c r="Y321" s="44" t="str">
        <f t="shared" si="33"/>
        <v>6961</v>
      </c>
      <c r="Z321" s="45">
        <f t="shared" si="34"/>
        <v>0</v>
      </c>
    </row>
    <row r="322" spans="1:26" s="26" customFormat="1" ht="12.75" x14ac:dyDescent="0.2">
      <c r="A322" s="20" t="str">
        <f>Data!B317</f>
        <v>6969</v>
      </c>
      <c r="B322" s="21" t="str">
        <f>INDEX(Data[],MATCH($A322,Data[Dist],0),MATCH(B$6,Data[#Headers],0))</f>
        <v>West Harrison</v>
      </c>
      <c r="C322" s="22">
        <f>INDEX(Data[],MATCH($A322,Data[Dist],0),MATCH(C$6,Data[#Headers],0))</f>
        <v>186787</v>
      </c>
      <c r="D322" s="164">
        <f>INDEX(Data[],MATCH($A322,Data[Dist],0),MATCH(D$6,Data[#Headers],0))</f>
        <v>185347</v>
      </c>
      <c r="E322" s="164">
        <f>INDEX(Data[],MATCH($A322,Data[Dist],0),MATCH(E$6,Data[#Headers],0))</f>
        <v>175523</v>
      </c>
      <c r="F322" s="164">
        <f>INDEX(Data[],MATCH($A322,Data[Dist],0),MATCH(F$6,Data[#Headers],0))</f>
        <v>175521</v>
      </c>
      <c r="G322" s="22">
        <f>INDEX(Data[],MATCH($A322,Data[Dist],0),MATCH(G$6,Data[#Headers],0))</f>
        <v>1819932</v>
      </c>
      <c r="H322" s="22">
        <f>INDEX(Data[],MATCH($A322,Data[Dist],0),MATCH(H$6,Data[#Headers],0))-G322</f>
        <v>0</v>
      </c>
      <c r="I322" s="25"/>
      <c r="J322" s="22">
        <f>INDEX(Notes!$I$2:$N$11,MATCH(Notes!$B$2,Notes!$I$2:$I$11,0),4)*$C322</f>
        <v>747148</v>
      </c>
      <c r="K322" s="22">
        <f>INDEX(Notes!$I$2:$N$11,MATCH(Notes!$B$2,Notes!$I$2:$I$11,0),5)*$D322</f>
        <v>370694</v>
      </c>
      <c r="L322" s="22">
        <f>INDEX(Notes!$I$2:$N$11,MATCH(Notes!$B$2,Notes!$I$2:$I$11,0),6)*$E322</f>
        <v>526569</v>
      </c>
      <c r="M322" s="22">
        <f>IF(Notes!$B$2="June",'Payment Total'!$F322,0)</f>
        <v>175521</v>
      </c>
      <c r="N322" s="22">
        <f t="shared" si="28"/>
        <v>0</v>
      </c>
      <c r="P322" s="26">
        <v>69690000</v>
      </c>
      <c r="Q322" s="26">
        <v>175521</v>
      </c>
      <c r="R322" s="21" t="str">
        <f t="shared" si="29"/>
        <v>6969</v>
      </c>
      <c r="S322" s="44" t="str">
        <f t="shared" si="30"/>
        <v>6969</v>
      </c>
      <c r="T322" s="20">
        <f t="shared" si="31"/>
        <v>0</v>
      </c>
      <c r="V322" s="46" t="s">
        <v>1126</v>
      </c>
      <c r="W322" s="26">
        <v>175521</v>
      </c>
      <c r="X322" s="21" t="str">
        <f t="shared" si="32"/>
        <v>6969</v>
      </c>
      <c r="Y322" s="44" t="str">
        <f t="shared" si="33"/>
        <v>6969</v>
      </c>
      <c r="Z322" s="45">
        <f t="shared" si="34"/>
        <v>0</v>
      </c>
    </row>
    <row r="323" spans="1:26" s="26" customFormat="1" ht="12.75" x14ac:dyDescent="0.2">
      <c r="A323" s="20" t="str">
        <f>Data!B318</f>
        <v>6975</v>
      </c>
      <c r="B323" s="21" t="str">
        <f>INDEX(Data[],MATCH($A323,Data[Dist],0),MATCH(B$6,Data[#Headers],0))</f>
        <v>West Liberty</v>
      </c>
      <c r="C323" s="22">
        <f>INDEX(Data[],MATCH($A323,Data[Dist],0),MATCH(C$6,Data[#Headers],0))</f>
        <v>973309</v>
      </c>
      <c r="D323" s="164">
        <f>INDEX(Data[],MATCH($A323,Data[Dist],0),MATCH(D$6,Data[#Headers],0))</f>
        <v>967576</v>
      </c>
      <c r="E323" s="164">
        <f>INDEX(Data[],MATCH($A323,Data[Dist],0),MATCH(E$6,Data[#Headers],0))</f>
        <v>967576</v>
      </c>
      <c r="F323" s="164">
        <f>INDEX(Data[],MATCH($A323,Data[Dist],0),MATCH(F$6,Data[#Headers],0))</f>
        <v>967576</v>
      </c>
      <c r="G323" s="22">
        <f>INDEX(Data[],MATCH($A323,Data[Dist],0),MATCH(G$6,Data[#Headers],0))</f>
        <v>9698692</v>
      </c>
      <c r="H323" s="22">
        <f>INDEX(Data[],MATCH($A323,Data[Dist],0),MATCH(H$6,Data[#Headers],0))-G323</f>
        <v>0</v>
      </c>
      <c r="I323" s="25"/>
      <c r="J323" s="22">
        <f>INDEX(Notes!$I$2:$N$11,MATCH(Notes!$B$2,Notes!$I$2:$I$11,0),4)*$C323</f>
        <v>3893236</v>
      </c>
      <c r="K323" s="22">
        <f>INDEX(Notes!$I$2:$N$11,MATCH(Notes!$B$2,Notes!$I$2:$I$11,0),5)*$D323</f>
        <v>1935152</v>
      </c>
      <c r="L323" s="22">
        <f>INDEX(Notes!$I$2:$N$11,MATCH(Notes!$B$2,Notes!$I$2:$I$11,0),6)*$E323</f>
        <v>2902728</v>
      </c>
      <c r="M323" s="22">
        <f>IF(Notes!$B$2="June",'Payment Total'!$F323,0)</f>
        <v>967576</v>
      </c>
      <c r="N323" s="22">
        <f t="shared" si="28"/>
        <v>0</v>
      </c>
      <c r="P323" s="26">
        <v>69750000</v>
      </c>
      <c r="Q323" s="26">
        <v>967576</v>
      </c>
      <c r="R323" s="21" t="str">
        <f t="shared" si="29"/>
        <v>6975</v>
      </c>
      <c r="S323" s="44" t="str">
        <f t="shared" si="30"/>
        <v>6975</v>
      </c>
      <c r="T323" s="20">
        <f t="shared" si="31"/>
        <v>0</v>
      </c>
      <c r="V323" s="46" t="s">
        <v>1127</v>
      </c>
      <c r="W323" s="26">
        <v>967576</v>
      </c>
      <c r="X323" s="21" t="str">
        <f t="shared" si="32"/>
        <v>6975</v>
      </c>
      <c r="Y323" s="44" t="str">
        <f t="shared" si="33"/>
        <v>6975</v>
      </c>
      <c r="Z323" s="45">
        <f t="shared" si="34"/>
        <v>0</v>
      </c>
    </row>
    <row r="324" spans="1:26" s="26" customFormat="1" ht="12.75" x14ac:dyDescent="0.2">
      <c r="A324" s="20" t="str">
        <f>Data!B319</f>
        <v>6983</v>
      </c>
      <c r="B324" s="21" t="str">
        <f>INDEX(Data[],MATCH($A324,Data[Dist],0),MATCH(B$6,Data[#Headers],0))</f>
        <v>West Lyon</v>
      </c>
      <c r="C324" s="22">
        <f>INDEX(Data[],MATCH($A324,Data[Dist],0),MATCH(C$6,Data[#Headers],0))</f>
        <v>489347</v>
      </c>
      <c r="D324" s="164">
        <f>INDEX(Data[],MATCH($A324,Data[Dist],0),MATCH(D$6,Data[#Headers],0))</f>
        <v>485505</v>
      </c>
      <c r="E324" s="164">
        <f>INDEX(Data[],MATCH($A324,Data[Dist],0),MATCH(E$6,Data[#Headers],0))</f>
        <v>485505</v>
      </c>
      <c r="F324" s="164">
        <f>INDEX(Data[],MATCH($A324,Data[Dist],0),MATCH(F$6,Data[#Headers],0))</f>
        <v>485505</v>
      </c>
      <c r="G324" s="22">
        <f>INDEX(Data[],MATCH($A324,Data[Dist],0),MATCH(G$6,Data[#Headers],0))</f>
        <v>4870418</v>
      </c>
      <c r="H324" s="22">
        <f>INDEX(Data[],MATCH($A324,Data[Dist],0),MATCH(H$6,Data[#Headers],0))-G324</f>
        <v>0</v>
      </c>
      <c r="I324" s="25"/>
      <c r="J324" s="22">
        <f>INDEX(Notes!$I$2:$N$11,MATCH(Notes!$B$2,Notes!$I$2:$I$11,0),4)*$C324</f>
        <v>1957388</v>
      </c>
      <c r="K324" s="22">
        <f>INDEX(Notes!$I$2:$N$11,MATCH(Notes!$B$2,Notes!$I$2:$I$11,0),5)*$D324</f>
        <v>971010</v>
      </c>
      <c r="L324" s="22">
        <f>INDEX(Notes!$I$2:$N$11,MATCH(Notes!$B$2,Notes!$I$2:$I$11,0),6)*$E324</f>
        <v>1456515</v>
      </c>
      <c r="M324" s="22">
        <f>IF(Notes!$B$2="June",'Payment Total'!$F324,0)</f>
        <v>485505</v>
      </c>
      <c r="N324" s="22">
        <f t="shared" si="28"/>
        <v>0</v>
      </c>
      <c r="P324" s="26">
        <v>69830000</v>
      </c>
      <c r="Q324" s="26">
        <v>485505</v>
      </c>
      <c r="R324" s="21" t="str">
        <f t="shared" si="29"/>
        <v>6983</v>
      </c>
      <c r="S324" s="44" t="str">
        <f t="shared" si="30"/>
        <v>6983</v>
      </c>
      <c r="T324" s="20">
        <f t="shared" si="31"/>
        <v>0</v>
      </c>
      <c r="V324" s="46" t="s">
        <v>1128</v>
      </c>
      <c r="W324" s="26">
        <v>485505</v>
      </c>
      <c r="X324" s="21" t="str">
        <f t="shared" si="32"/>
        <v>6983</v>
      </c>
      <c r="Y324" s="44" t="str">
        <f t="shared" si="33"/>
        <v>6983</v>
      </c>
      <c r="Z324" s="45">
        <f t="shared" si="34"/>
        <v>0</v>
      </c>
    </row>
    <row r="325" spans="1:26" s="26" customFormat="1" ht="12.75" x14ac:dyDescent="0.2">
      <c r="A325" s="20" t="str">
        <f>Data!B320</f>
        <v>6985</v>
      </c>
      <c r="B325" s="21" t="str">
        <f>INDEX(Data[],MATCH($A325,Data[Dist],0),MATCH(B$6,Data[#Headers],0))</f>
        <v>West Marshall</v>
      </c>
      <c r="C325" s="22">
        <f>INDEX(Data[],MATCH($A325,Data[Dist],0),MATCH(C$6,Data[#Headers],0))</f>
        <v>548776</v>
      </c>
      <c r="D325" s="164">
        <f>INDEX(Data[],MATCH($A325,Data[Dist],0),MATCH(D$6,Data[#Headers],0))</f>
        <v>545046</v>
      </c>
      <c r="E325" s="164">
        <f>INDEX(Data[],MATCH($A325,Data[Dist],0),MATCH(E$6,Data[#Headers],0))</f>
        <v>545046</v>
      </c>
      <c r="F325" s="164">
        <f>INDEX(Data[],MATCH($A325,Data[Dist],0),MATCH(F$6,Data[#Headers],0))</f>
        <v>545044</v>
      </c>
      <c r="G325" s="22">
        <f>INDEX(Data[],MATCH($A325,Data[Dist],0),MATCH(G$6,Data[#Headers],0))</f>
        <v>5465378</v>
      </c>
      <c r="H325" s="22">
        <f>INDEX(Data[],MATCH($A325,Data[Dist],0),MATCH(H$6,Data[#Headers],0))-G325</f>
        <v>0</v>
      </c>
      <c r="I325" s="25"/>
      <c r="J325" s="22">
        <f>INDEX(Notes!$I$2:$N$11,MATCH(Notes!$B$2,Notes!$I$2:$I$11,0),4)*$C325</f>
        <v>2195104</v>
      </c>
      <c r="K325" s="22">
        <f>INDEX(Notes!$I$2:$N$11,MATCH(Notes!$B$2,Notes!$I$2:$I$11,0),5)*$D325</f>
        <v>1090092</v>
      </c>
      <c r="L325" s="22">
        <f>INDEX(Notes!$I$2:$N$11,MATCH(Notes!$B$2,Notes!$I$2:$I$11,0),6)*$E325</f>
        <v>1635138</v>
      </c>
      <c r="M325" s="22">
        <f>IF(Notes!$B$2="June",'Payment Total'!$F325,0)</f>
        <v>545044</v>
      </c>
      <c r="N325" s="22">
        <f t="shared" si="28"/>
        <v>0</v>
      </c>
      <c r="P325" s="26">
        <v>69850000</v>
      </c>
      <c r="Q325" s="26">
        <v>545044</v>
      </c>
      <c r="R325" s="21" t="str">
        <f t="shared" si="29"/>
        <v>6985</v>
      </c>
      <c r="S325" s="44" t="str">
        <f t="shared" si="30"/>
        <v>6985</v>
      </c>
      <c r="T325" s="20">
        <f t="shared" si="31"/>
        <v>0</v>
      </c>
      <c r="V325" s="46" t="s">
        <v>1129</v>
      </c>
      <c r="W325" s="26">
        <v>545044</v>
      </c>
      <c r="X325" s="21" t="str">
        <f t="shared" si="32"/>
        <v>6985</v>
      </c>
      <c r="Y325" s="44" t="str">
        <f t="shared" si="33"/>
        <v>6985</v>
      </c>
      <c r="Z325" s="45">
        <f t="shared" si="34"/>
        <v>0</v>
      </c>
    </row>
    <row r="326" spans="1:26" s="26" customFormat="1" ht="12.75" x14ac:dyDescent="0.2">
      <c r="A326" s="20" t="str">
        <f>Data!B321</f>
        <v>6987</v>
      </c>
      <c r="B326" s="21" t="str">
        <f>INDEX(Data[],MATCH($A326,Data[Dist],0),MATCH(B$6,Data[#Headers],0))</f>
        <v>West Monona</v>
      </c>
      <c r="C326" s="22">
        <f>INDEX(Data[],MATCH($A326,Data[Dist],0),MATCH(C$6,Data[#Headers],0))</f>
        <v>362564</v>
      </c>
      <c r="D326" s="164">
        <f>INDEX(Data[],MATCH($A326,Data[Dist],0),MATCH(D$6,Data[#Headers],0))</f>
        <v>360041</v>
      </c>
      <c r="E326" s="164">
        <f>INDEX(Data[],MATCH($A326,Data[Dist],0),MATCH(E$6,Data[#Headers],0))</f>
        <v>359301</v>
      </c>
      <c r="F326" s="164">
        <f>INDEX(Data[],MATCH($A326,Data[Dist],0),MATCH(F$6,Data[#Headers],0))</f>
        <v>359302</v>
      </c>
      <c r="G326" s="22">
        <f>INDEX(Data[],MATCH($A326,Data[Dist],0),MATCH(G$6,Data[#Headers],0))</f>
        <v>3607543</v>
      </c>
      <c r="H326" s="22">
        <f>INDEX(Data[],MATCH($A326,Data[Dist],0),MATCH(H$6,Data[#Headers],0))-G326</f>
        <v>0</v>
      </c>
      <c r="I326" s="25"/>
      <c r="J326" s="22">
        <f>INDEX(Notes!$I$2:$N$11,MATCH(Notes!$B$2,Notes!$I$2:$I$11,0),4)*$C326</f>
        <v>1450256</v>
      </c>
      <c r="K326" s="22">
        <f>INDEX(Notes!$I$2:$N$11,MATCH(Notes!$B$2,Notes!$I$2:$I$11,0),5)*$D326</f>
        <v>720082</v>
      </c>
      <c r="L326" s="22">
        <f>INDEX(Notes!$I$2:$N$11,MATCH(Notes!$B$2,Notes!$I$2:$I$11,0),6)*$E326</f>
        <v>1077903</v>
      </c>
      <c r="M326" s="22">
        <f>IF(Notes!$B$2="June",'Payment Total'!$F326,0)</f>
        <v>359302</v>
      </c>
      <c r="N326" s="22">
        <f t="shared" si="28"/>
        <v>0</v>
      </c>
      <c r="P326" s="26">
        <v>69870000</v>
      </c>
      <c r="Q326" s="26">
        <v>359302</v>
      </c>
      <c r="R326" s="21" t="str">
        <f t="shared" si="29"/>
        <v>6987</v>
      </c>
      <c r="S326" s="44" t="str">
        <f t="shared" si="30"/>
        <v>6987</v>
      </c>
      <c r="T326" s="20">
        <f t="shared" si="31"/>
        <v>0</v>
      </c>
      <c r="V326" s="46" t="s">
        <v>1130</v>
      </c>
      <c r="W326" s="26">
        <v>359302</v>
      </c>
      <c r="X326" s="21" t="str">
        <f t="shared" si="32"/>
        <v>6987</v>
      </c>
      <c r="Y326" s="44" t="str">
        <f t="shared" si="33"/>
        <v>6987</v>
      </c>
      <c r="Z326" s="45">
        <f t="shared" si="34"/>
        <v>0</v>
      </c>
    </row>
    <row r="327" spans="1:26" s="26" customFormat="1" ht="12.75" x14ac:dyDescent="0.2">
      <c r="A327" s="20" t="str">
        <f>Data!B322</f>
        <v>6990</v>
      </c>
      <c r="B327" s="21" t="str">
        <f>INDEX(Data[],MATCH($A327,Data[Dist],0),MATCH(B$6,Data[#Headers],0))</f>
        <v>West Sioux</v>
      </c>
      <c r="C327" s="22">
        <f>INDEX(Data[],MATCH($A327,Data[Dist],0),MATCH(C$6,Data[#Headers],0))</f>
        <v>563277</v>
      </c>
      <c r="D327" s="164">
        <f>INDEX(Data[],MATCH($A327,Data[Dist],0),MATCH(D$6,Data[#Headers],0))</f>
        <v>559806</v>
      </c>
      <c r="E327" s="164">
        <f>INDEX(Data[],MATCH($A327,Data[Dist],0),MATCH(E$6,Data[#Headers],0))</f>
        <v>559806</v>
      </c>
      <c r="F327" s="164">
        <f>INDEX(Data[],MATCH($A327,Data[Dist],0),MATCH(F$6,Data[#Headers],0))</f>
        <v>559807</v>
      </c>
      <c r="G327" s="22">
        <f>INDEX(Data[],MATCH($A327,Data[Dist],0),MATCH(G$6,Data[#Headers],0))</f>
        <v>5611945</v>
      </c>
      <c r="H327" s="22">
        <f>INDEX(Data[],MATCH($A327,Data[Dist],0),MATCH(H$6,Data[#Headers],0))-G327</f>
        <v>0</v>
      </c>
      <c r="I327" s="25"/>
      <c r="J327" s="22">
        <f>INDEX(Notes!$I$2:$N$11,MATCH(Notes!$B$2,Notes!$I$2:$I$11,0),4)*$C327</f>
        <v>2253108</v>
      </c>
      <c r="K327" s="22">
        <f>INDEX(Notes!$I$2:$N$11,MATCH(Notes!$B$2,Notes!$I$2:$I$11,0),5)*$D327</f>
        <v>1119612</v>
      </c>
      <c r="L327" s="22">
        <f>INDEX(Notes!$I$2:$N$11,MATCH(Notes!$B$2,Notes!$I$2:$I$11,0),6)*$E327</f>
        <v>1679418</v>
      </c>
      <c r="M327" s="22">
        <f>IF(Notes!$B$2="June",'Payment Total'!$F327,0)</f>
        <v>559807</v>
      </c>
      <c r="N327" s="22">
        <f t="shared" si="28"/>
        <v>0</v>
      </c>
      <c r="P327" s="26">
        <v>69900000</v>
      </c>
      <c r="Q327" s="26">
        <v>559807</v>
      </c>
      <c r="R327" s="21" t="str">
        <f t="shared" si="29"/>
        <v>6990</v>
      </c>
      <c r="S327" s="44" t="str">
        <f t="shared" si="30"/>
        <v>6990</v>
      </c>
      <c r="T327" s="20">
        <f t="shared" si="31"/>
        <v>0</v>
      </c>
      <c r="V327" s="46" t="s">
        <v>1131</v>
      </c>
      <c r="W327" s="26">
        <v>559807</v>
      </c>
      <c r="X327" s="21" t="str">
        <f t="shared" si="32"/>
        <v>6990</v>
      </c>
      <c r="Y327" s="44" t="str">
        <f t="shared" si="33"/>
        <v>6990</v>
      </c>
      <c r="Z327" s="45">
        <f t="shared" si="34"/>
        <v>0</v>
      </c>
    </row>
    <row r="328" spans="1:26" s="26" customFormat="1" ht="12.75" x14ac:dyDescent="0.2">
      <c r="A328" s="20" t="str">
        <f>Data!B323</f>
        <v>6992</v>
      </c>
      <c r="B328" s="21" t="str">
        <f>INDEX(Data[],MATCH($A328,Data[Dist],0),MATCH(B$6,Data[#Headers],0))</f>
        <v>Westwood</v>
      </c>
      <c r="C328" s="22">
        <f>INDEX(Data[],MATCH($A328,Data[Dist],0),MATCH(C$6,Data[#Headers],0))</f>
        <v>242477</v>
      </c>
      <c r="D328" s="164">
        <f>INDEX(Data[],MATCH($A328,Data[Dist],0),MATCH(D$6,Data[#Headers],0))</f>
        <v>240263</v>
      </c>
      <c r="E328" s="164">
        <f>INDEX(Data[],MATCH($A328,Data[Dist],0),MATCH(E$6,Data[#Headers],0))</f>
        <v>240263</v>
      </c>
      <c r="F328" s="164">
        <f>INDEX(Data[],MATCH($A328,Data[Dist],0),MATCH(F$6,Data[#Headers],0))</f>
        <v>240261</v>
      </c>
      <c r="G328" s="22">
        <f>INDEX(Data[],MATCH($A328,Data[Dist],0),MATCH(G$6,Data[#Headers],0))</f>
        <v>2411484</v>
      </c>
      <c r="H328" s="22">
        <f>INDEX(Data[],MATCH($A328,Data[Dist],0),MATCH(H$6,Data[#Headers],0))-G328</f>
        <v>0</v>
      </c>
      <c r="I328" s="25"/>
      <c r="J328" s="22">
        <f>INDEX(Notes!$I$2:$N$11,MATCH(Notes!$B$2,Notes!$I$2:$I$11,0),4)*$C328</f>
        <v>969908</v>
      </c>
      <c r="K328" s="22">
        <f>INDEX(Notes!$I$2:$N$11,MATCH(Notes!$B$2,Notes!$I$2:$I$11,0),5)*$D328</f>
        <v>480526</v>
      </c>
      <c r="L328" s="22">
        <f>INDEX(Notes!$I$2:$N$11,MATCH(Notes!$B$2,Notes!$I$2:$I$11,0),6)*$E328</f>
        <v>720789</v>
      </c>
      <c r="M328" s="22">
        <f>IF(Notes!$B$2="June",'Payment Total'!$F328,0)</f>
        <v>240261</v>
      </c>
      <c r="N328" s="22">
        <f t="shared" ref="N328:N336" si="35">SUM(J328:M328)-G328</f>
        <v>0</v>
      </c>
      <c r="P328" s="26">
        <v>69920000</v>
      </c>
      <c r="Q328" s="26">
        <v>240261</v>
      </c>
      <c r="R328" s="21" t="str">
        <f t="shared" ref="R328:R336" si="36">TEXT(P328/10000,"0000")</f>
        <v>6992</v>
      </c>
      <c r="S328" s="44" t="str">
        <f t="shared" ref="S328:S336" si="37">IF(R328="1968","3582",IF(R328="5160","5319",IF(R328="5510","4824",IF(R328="6536","1935",IF(R328="6035","6048",IF(R328="5325","5323",IF(R328="6099","5157",R328)))))))</f>
        <v>6992</v>
      </c>
      <c r="T328" s="20">
        <f t="shared" ref="T328:T336" si="38">INDEX($A$7:$H$336,MATCH($S328,$A$7:$A$336,0),6)-Q328</f>
        <v>0</v>
      </c>
      <c r="V328" s="46" t="s">
        <v>1133</v>
      </c>
      <c r="W328" s="26">
        <v>240261</v>
      </c>
      <c r="X328" s="21" t="str">
        <f t="shared" ref="X328:X336" si="39">TEXT(V328/10000,"0000")</f>
        <v>6992</v>
      </c>
      <c r="Y328" s="44" t="str">
        <f t="shared" ref="Y328:Y336" si="40">IF(X328="1968","3582",IF(X328="5160","5319",IF(X328="5510","4824",IF(X328="6536","1935",IF(X328="6035","6048",IF(X328="5325","5323",IF(X328="6099","5157",X328)))))))</f>
        <v>6992</v>
      </c>
      <c r="Z328" s="45">
        <f t="shared" ref="Z328:Z336" si="41">INDEX($A$7:$H$336,MATCH($Y328,$A$7:$A$336,0),6)-W328</f>
        <v>0</v>
      </c>
    </row>
    <row r="329" spans="1:26" s="26" customFormat="1" ht="12.75" x14ac:dyDescent="0.2">
      <c r="A329" s="20" t="str">
        <f>Data!B324</f>
        <v>7002</v>
      </c>
      <c r="B329" s="21" t="str">
        <f>INDEX(Data[],MATCH($A329,Data[Dist],0),MATCH(B$6,Data[#Headers],0))</f>
        <v>Whiting</v>
      </c>
      <c r="C329" s="22">
        <f>INDEX(Data[],MATCH($A329,Data[Dist],0),MATCH(C$6,Data[#Headers],0))</f>
        <v>113640</v>
      </c>
      <c r="D329" s="164">
        <f>INDEX(Data[],MATCH($A329,Data[Dist],0),MATCH(D$6,Data[#Headers],0))</f>
        <v>112786</v>
      </c>
      <c r="E329" s="164">
        <f>INDEX(Data[],MATCH($A329,Data[Dist],0),MATCH(E$6,Data[#Headers],0))</f>
        <v>112786</v>
      </c>
      <c r="F329" s="164">
        <f>INDEX(Data[],MATCH($A329,Data[Dist],0),MATCH(F$6,Data[#Headers],0))</f>
        <v>112784</v>
      </c>
      <c r="G329" s="22">
        <f>INDEX(Data[],MATCH($A329,Data[Dist],0),MATCH(G$6,Data[#Headers],0))</f>
        <v>1131274</v>
      </c>
      <c r="H329" s="22">
        <f>INDEX(Data[],MATCH($A329,Data[Dist],0),MATCH(H$6,Data[#Headers],0))-G329</f>
        <v>0</v>
      </c>
      <c r="I329" s="25"/>
      <c r="J329" s="22">
        <f>INDEX(Notes!$I$2:$N$11,MATCH(Notes!$B$2,Notes!$I$2:$I$11,0),4)*$C329</f>
        <v>454560</v>
      </c>
      <c r="K329" s="22">
        <f>INDEX(Notes!$I$2:$N$11,MATCH(Notes!$B$2,Notes!$I$2:$I$11,0),5)*$D329</f>
        <v>225572</v>
      </c>
      <c r="L329" s="22">
        <f>INDEX(Notes!$I$2:$N$11,MATCH(Notes!$B$2,Notes!$I$2:$I$11,0),6)*$E329</f>
        <v>338358</v>
      </c>
      <c r="M329" s="22">
        <f>IF(Notes!$B$2="June",'Payment Total'!$F329,0)</f>
        <v>112784</v>
      </c>
      <c r="N329" s="22">
        <f t="shared" si="35"/>
        <v>0</v>
      </c>
      <c r="P329" s="26">
        <v>70020000</v>
      </c>
      <c r="Q329" s="26">
        <v>112784</v>
      </c>
      <c r="R329" s="21" t="str">
        <f t="shared" si="36"/>
        <v>7002</v>
      </c>
      <c r="S329" s="44" t="str">
        <f t="shared" si="37"/>
        <v>7002</v>
      </c>
      <c r="T329" s="20">
        <f t="shared" si="38"/>
        <v>0</v>
      </c>
      <c r="V329" s="46" t="s">
        <v>1134</v>
      </c>
      <c r="W329" s="26">
        <v>112784</v>
      </c>
      <c r="X329" s="21" t="str">
        <f t="shared" si="39"/>
        <v>7002</v>
      </c>
      <c r="Y329" s="44" t="str">
        <f t="shared" si="40"/>
        <v>7002</v>
      </c>
      <c r="Z329" s="45">
        <f t="shared" si="41"/>
        <v>0</v>
      </c>
    </row>
    <row r="330" spans="1:26" s="26" customFormat="1" ht="12.75" x14ac:dyDescent="0.2">
      <c r="A330" s="20" t="str">
        <f>Data!B325</f>
        <v>7029</v>
      </c>
      <c r="B330" s="21" t="str">
        <f>INDEX(Data[],MATCH($A330,Data[Dist],0),MATCH(B$6,Data[#Headers],0))</f>
        <v>Williamsburg</v>
      </c>
      <c r="C330" s="22">
        <f>INDEX(Data[],MATCH($A330,Data[Dist],0),MATCH(C$6,Data[#Headers],0))</f>
        <v>636127</v>
      </c>
      <c r="D330" s="164">
        <f>INDEX(Data[],MATCH($A330,Data[Dist],0),MATCH(D$6,Data[#Headers],0))</f>
        <v>631447</v>
      </c>
      <c r="E330" s="164">
        <f>INDEX(Data[],MATCH($A330,Data[Dist],0),MATCH(E$6,Data[#Headers],0))</f>
        <v>631447</v>
      </c>
      <c r="F330" s="164">
        <f>INDEX(Data[],MATCH($A330,Data[Dist],0),MATCH(F$6,Data[#Headers],0))</f>
        <v>631447</v>
      </c>
      <c r="G330" s="22">
        <f>INDEX(Data[],MATCH($A330,Data[Dist],0),MATCH(G$6,Data[#Headers],0))</f>
        <v>6333190</v>
      </c>
      <c r="H330" s="22">
        <f>INDEX(Data[],MATCH($A330,Data[Dist],0),MATCH(H$6,Data[#Headers],0))-G330</f>
        <v>0</v>
      </c>
      <c r="I330" s="25"/>
      <c r="J330" s="22">
        <f>INDEX(Notes!$I$2:$N$11,MATCH(Notes!$B$2,Notes!$I$2:$I$11,0),4)*$C330</f>
        <v>2544508</v>
      </c>
      <c r="K330" s="22">
        <f>INDEX(Notes!$I$2:$N$11,MATCH(Notes!$B$2,Notes!$I$2:$I$11,0),5)*$D330</f>
        <v>1262894</v>
      </c>
      <c r="L330" s="22">
        <f>INDEX(Notes!$I$2:$N$11,MATCH(Notes!$B$2,Notes!$I$2:$I$11,0),6)*$E330</f>
        <v>1894341</v>
      </c>
      <c r="M330" s="22">
        <f>IF(Notes!$B$2="June",'Payment Total'!$F330,0)</f>
        <v>631447</v>
      </c>
      <c r="N330" s="22">
        <f t="shared" si="35"/>
        <v>0</v>
      </c>
      <c r="P330" s="26">
        <v>70290000</v>
      </c>
      <c r="Q330" s="26">
        <v>631447</v>
      </c>
      <c r="R330" s="21" t="str">
        <f t="shared" si="36"/>
        <v>7029</v>
      </c>
      <c r="S330" s="44" t="str">
        <f t="shared" si="37"/>
        <v>7029</v>
      </c>
      <c r="T330" s="20">
        <f t="shared" si="38"/>
        <v>0</v>
      </c>
      <c r="V330" s="46" t="s">
        <v>1135</v>
      </c>
      <c r="W330" s="26">
        <v>631447</v>
      </c>
      <c r="X330" s="21" t="str">
        <f t="shared" si="39"/>
        <v>7029</v>
      </c>
      <c r="Y330" s="44" t="str">
        <f t="shared" si="40"/>
        <v>7029</v>
      </c>
      <c r="Z330" s="45">
        <f t="shared" si="41"/>
        <v>0</v>
      </c>
    </row>
    <row r="331" spans="1:26" s="26" customFormat="1" ht="12.75" x14ac:dyDescent="0.2">
      <c r="A331" s="20" t="str">
        <f>Data!B326</f>
        <v>7038</v>
      </c>
      <c r="B331" s="21" t="str">
        <f>INDEX(Data[],MATCH($A331,Data[Dist],0),MATCH(B$6,Data[#Headers],0))</f>
        <v>Wilton</v>
      </c>
      <c r="C331" s="22">
        <f>INDEX(Data[],MATCH($A331,Data[Dist],0),MATCH(C$6,Data[#Headers],0))</f>
        <v>501210</v>
      </c>
      <c r="D331" s="164">
        <f>INDEX(Data[],MATCH($A331,Data[Dist],0),MATCH(D$6,Data[#Headers],0))</f>
        <v>497761</v>
      </c>
      <c r="E331" s="164">
        <f>INDEX(Data[],MATCH($A331,Data[Dist],0),MATCH(E$6,Data[#Headers],0))</f>
        <v>497760</v>
      </c>
      <c r="F331" s="164">
        <f>INDEX(Data[],MATCH($A331,Data[Dist],0),MATCH(F$6,Data[#Headers],0))</f>
        <v>497761</v>
      </c>
      <c r="G331" s="22">
        <f>INDEX(Data[],MATCH($A331,Data[Dist],0),MATCH(G$6,Data[#Headers],0))</f>
        <v>4991403</v>
      </c>
      <c r="H331" s="22">
        <f>INDEX(Data[],MATCH($A331,Data[Dist],0),MATCH(H$6,Data[#Headers],0))-G331</f>
        <v>0</v>
      </c>
      <c r="I331" s="25"/>
      <c r="J331" s="22">
        <f>INDEX(Notes!$I$2:$N$11,MATCH(Notes!$B$2,Notes!$I$2:$I$11,0),4)*$C331</f>
        <v>2004840</v>
      </c>
      <c r="K331" s="22">
        <f>INDEX(Notes!$I$2:$N$11,MATCH(Notes!$B$2,Notes!$I$2:$I$11,0),5)*$D331</f>
        <v>995522</v>
      </c>
      <c r="L331" s="22">
        <f>INDEX(Notes!$I$2:$N$11,MATCH(Notes!$B$2,Notes!$I$2:$I$11,0),6)*$E331</f>
        <v>1493280</v>
      </c>
      <c r="M331" s="22">
        <f>IF(Notes!$B$2="June",'Payment Total'!$F331,0)</f>
        <v>497761</v>
      </c>
      <c r="N331" s="22">
        <f t="shared" si="35"/>
        <v>0</v>
      </c>
      <c r="P331" s="26">
        <v>70380000</v>
      </c>
      <c r="Q331" s="26">
        <v>497761</v>
      </c>
      <c r="R331" s="21" t="str">
        <f t="shared" si="36"/>
        <v>7038</v>
      </c>
      <c r="S331" s="44" t="str">
        <f t="shared" si="37"/>
        <v>7038</v>
      </c>
      <c r="T331" s="20">
        <f t="shared" si="38"/>
        <v>0</v>
      </c>
      <c r="V331" s="46" t="s">
        <v>1136</v>
      </c>
      <c r="W331" s="26">
        <v>497761</v>
      </c>
      <c r="X331" s="21" t="str">
        <f t="shared" si="39"/>
        <v>7038</v>
      </c>
      <c r="Y331" s="44" t="str">
        <f t="shared" si="40"/>
        <v>7038</v>
      </c>
      <c r="Z331" s="45">
        <f t="shared" si="41"/>
        <v>0</v>
      </c>
    </row>
    <row r="332" spans="1:26" s="21" customFormat="1" ht="12.75" x14ac:dyDescent="0.2">
      <c r="A332" s="20" t="str">
        <f>Data!B327</f>
        <v>7047</v>
      </c>
      <c r="B332" s="21" t="str">
        <f>INDEX(Data[],MATCH($A332,Data[Dist],0),MATCH(B$6,Data[#Headers],0))</f>
        <v>Winfield-Mt Union</v>
      </c>
      <c r="C332" s="22">
        <f>INDEX(Data[],MATCH($A332,Data[Dist],0),MATCH(C$6,Data[#Headers],0))</f>
        <v>200017</v>
      </c>
      <c r="D332" s="164">
        <f>INDEX(Data[],MATCH($A332,Data[Dist],0),MATCH(D$6,Data[#Headers],0))</f>
        <v>198604</v>
      </c>
      <c r="E332" s="164">
        <f>INDEX(Data[],MATCH($A332,Data[Dist],0),MATCH(E$6,Data[#Headers],0))</f>
        <v>198605</v>
      </c>
      <c r="F332" s="164">
        <f>INDEX(Data[],MATCH($A332,Data[Dist],0),MATCH(F$6,Data[#Headers],0))</f>
        <v>198603</v>
      </c>
      <c r="G332" s="22">
        <f>INDEX(Data[],MATCH($A332,Data[Dist],0),MATCH(G$6,Data[#Headers],0))</f>
        <v>1991694</v>
      </c>
      <c r="H332" s="22">
        <f>INDEX(Data[],MATCH($A332,Data[Dist],0),MATCH(H$6,Data[#Headers],0))-G332</f>
        <v>0</v>
      </c>
      <c r="I332" s="23"/>
      <c r="J332" s="22">
        <f>INDEX(Notes!$I$2:$N$11,MATCH(Notes!$B$2,Notes!$I$2:$I$11,0),4)*$C332</f>
        <v>800068</v>
      </c>
      <c r="K332" s="22">
        <f>INDEX(Notes!$I$2:$N$11,MATCH(Notes!$B$2,Notes!$I$2:$I$11,0),5)*$D332</f>
        <v>397208</v>
      </c>
      <c r="L332" s="22">
        <f>INDEX(Notes!$I$2:$N$11,MATCH(Notes!$B$2,Notes!$I$2:$I$11,0),6)*$E332</f>
        <v>595815</v>
      </c>
      <c r="M332" s="22">
        <f>IF(Notes!$B$2="June",'Payment Total'!$F332,0)</f>
        <v>198603</v>
      </c>
      <c r="N332" s="22">
        <f t="shared" si="35"/>
        <v>0</v>
      </c>
      <c r="P332" s="21">
        <v>70470000</v>
      </c>
      <c r="Q332" s="21">
        <v>198603</v>
      </c>
      <c r="R332" s="21" t="str">
        <f t="shared" si="36"/>
        <v>7047</v>
      </c>
      <c r="S332" s="44" t="str">
        <f t="shared" si="37"/>
        <v>7047</v>
      </c>
      <c r="T332" s="20">
        <f t="shared" si="38"/>
        <v>0</v>
      </c>
      <c r="V332" s="20" t="s">
        <v>1137</v>
      </c>
      <c r="W332" s="21">
        <v>198603</v>
      </c>
      <c r="X332" s="21" t="str">
        <f t="shared" si="39"/>
        <v>7047</v>
      </c>
      <c r="Y332" s="44" t="str">
        <f t="shared" si="40"/>
        <v>7047</v>
      </c>
      <c r="Z332" s="45">
        <f t="shared" si="41"/>
        <v>0</v>
      </c>
    </row>
    <row r="333" spans="1:26" s="21" customFormat="1" ht="12.75" x14ac:dyDescent="0.2">
      <c r="A333" s="20" t="str">
        <f>Data!B328</f>
        <v>7056</v>
      </c>
      <c r="B333" s="21" t="str">
        <f>INDEX(Data[],MATCH($A333,Data[Dist],0),MATCH(B$6,Data[#Headers],0))</f>
        <v>Winterset</v>
      </c>
      <c r="C333" s="22">
        <f>INDEX(Data[],MATCH($A333,Data[Dist],0),MATCH(C$6,Data[#Headers],0))</f>
        <v>1074694</v>
      </c>
      <c r="D333" s="164">
        <f>INDEX(Data[],MATCH($A333,Data[Dist],0),MATCH(D$6,Data[#Headers],0))</f>
        <v>1067573</v>
      </c>
      <c r="E333" s="164">
        <f>INDEX(Data[],MATCH($A333,Data[Dist],0),MATCH(E$6,Data[#Headers],0))</f>
        <v>1067573</v>
      </c>
      <c r="F333" s="164">
        <f>INDEX(Data[],MATCH($A333,Data[Dist],0),MATCH(F$6,Data[#Headers],0))</f>
        <v>1067574</v>
      </c>
      <c r="G333" s="22">
        <f>INDEX(Data[],MATCH($A333,Data[Dist],0),MATCH(G$6,Data[#Headers],0))</f>
        <v>10704215</v>
      </c>
      <c r="H333" s="22">
        <f>INDEX(Data[],MATCH($A333,Data[Dist],0),MATCH(H$6,Data[#Headers],0))-G333</f>
        <v>0</v>
      </c>
      <c r="I333" s="23"/>
      <c r="J333" s="22">
        <f>INDEX(Notes!$I$2:$N$11,MATCH(Notes!$B$2,Notes!$I$2:$I$11,0),4)*$C333</f>
        <v>4298776</v>
      </c>
      <c r="K333" s="22">
        <f>INDEX(Notes!$I$2:$N$11,MATCH(Notes!$B$2,Notes!$I$2:$I$11,0),5)*$D333</f>
        <v>2135146</v>
      </c>
      <c r="L333" s="22">
        <f>INDEX(Notes!$I$2:$N$11,MATCH(Notes!$B$2,Notes!$I$2:$I$11,0),6)*$E333</f>
        <v>3202719</v>
      </c>
      <c r="M333" s="22">
        <f>IF(Notes!$B$2="June",'Payment Total'!$F333,0)</f>
        <v>1067574</v>
      </c>
      <c r="N333" s="22">
        <f t="shared" si="35"/>
        <v>0</v>
      </c>
      <c r="P333" s="21">
        <v>70560000</v>
      </c>
      <c r="Q333" s="21">
        <v>1067574</v>
      </c>
      <c r="R333" s="21" t="str">
        <f t="shared" si="36"/>
        <v>7056</v>
      </c>
      <c r="S333" s="44" t="str">
        <f t="shared" si="37"/>
        <v>7056</v>
      </c>
      <c r="T333" s="20">
        <f t="shared" si="38"/>
        <v>0</v>
      </c>
      <c r="V333" s="20" t="s">
        <v>1138</v>
      </c>
      <c r="W333" s="21">
        <v>1067574</v>
      </c>
      <c r="X333" s="21" t="str">
        <f t="shared" si="39"/>
        <v>7056</v>
      </c>
      <c r="Y333" s="44" t="str">
        <f t="shared" si="40"/>
        <v>7056</v>
      </c>
      <c r="Z333" s="45">
        <f t="shared" si="41"/>
        <v>0</v>
      </c>
    </row>
    <row r="334" spans="1:26" s="21" customFormat="1" ht="12.75" x14ac:dyDescent="0.2">
      <c r="A334" s="20" t="str">
        <f>Data!B329</f>
        <v>7092</v>
      </c>
      <c r="B334" s="21" t="str">
        <f>INDEX(Data[],MATCH($A334,Data[Dist],0),MATCH(B$6,Data[#Headers],0))</f>
        <v>Woodbine</v>
      </c>
      <c r="C334" s="22">
        <f>INDEX(Data[],MATCH($A334,Data[Dist],0),MATCH(C$6,Data[#Headers],0))</f>
        <v>271160</v>
      </c>
      <c r="D334" s="164">
        <f>INDEX(Data[],MATCH($A334,Data[Dist],0),MATCH(D$6,Data[#Headers],0))</f>
        <v>269204</v>
      </c>
      <c r="E334" s="164">
        <f>INDEX(Data[],MATCH($A334,Data[Dist],0),MATCH(E$6,Data[#Headers],0))</f>
        <v>269203</v>
      </c>
      <c r="F334" s="164">
        <f>INDEX(Data[],MATCH($A334,Data[Dist],0),MATCH(F$6,Data[#Headers],0))</f>
        <v>269204</v>
      </c>
      <c r="G334" s="22">
        <f>INDEX(Data[],MATCH($A334,Data[Dist],0),MATCH(G$6,Data[#Headers],0))</f>
        <v>2699861</v>
      </c>
      <c r="H334" s="22">
        <f>INDEX(Data[],MATCH($A334,Data[Dist],0),MATCH(H$6,Data[#Headers],0))-G334</f>
        <v>0</v>
      </c>
      <c r="I334" s="23"/>
      <c r="J334" s="22">
        <f>INDEX(Notes!$I$2:$N$11,MATCH(Notes!$B$2,Notes!$I$2:$I$11,0),4)*$C334</f>
        <v>1084640</v>
      </c>
      <c r="K334" s="22">
        <f>INDEX(Notes!$I$2:$N$11,MATCH(Notes!$B$2,Notes!$I$2:$I$11,0),5)*$D334</f>
        <v>538408</v>
      </c>
      <c r="L334" s="22">
        <f>INDEX(Notes!$I$2:$N$11,MATCH(Notes!$B$2,Notes!$I$2:$I$11,0),6)*$E334</f>
        <v>807609</v>
      </c>
      <c r="M334" s="22">
        <f>IF(Notes!$B$2="June",'Payment Total'!$F334,0)</f>
        <v>269204</v>
      </c>
      <c r="N334" s="22">
        <f t="shared" si="35"/>
        <v>0</v>
      </c>
      <c r="P334" s="21">
        <v>70920000</v>
      </c>
      <c r="Q334" s="21">
        <v>269204</v>
      </c>
      <c r="R334" s="21" t="str">
        <f t="shared" si="36"/>
        <v>7092</v>
      </c>
      <c r="S334" s="44" t="str">
        <f t="shared" si="37"/>
        <v>7092</v>
      </c>
      <c r="T334" s="20">
        <f t="shared" si="38"/>
        <v>0</v>
      </c>
      <c r="V334" s="20" t="s">
        <v>1139</v>
      </c>
      <c r="W334" s="21">
        <v>269204</v>
      </c>
      <c r="X334" s="21" t="str">
        <f t="shared" si="39"/>
        <v>7092</v>
      </c>
      <c r="Y334" s="44" t="str">
        <f t="shared" si="40"/>
        <v>7092</v>
      </c>
      <c r="Z334" s="45">
        <f t="shared" si="41"/>
        <v>0</v>
      </c>
    </row>
    <row r="335" spans="1:26" s="21" customFormat="1" ht="12.75" x14ac:dyDescent="0.2">
      <c r="A335" s="20" t="str">
        <f>Data!B330</f>
        <v>7098</v>
      </c>
      <c r="B335" s="21" t="str">
        <f>INDEX(Data[],MATCH($A335,Data[Dist],0),MATCH(B$6,Data[#Headers],0))</f>
        <v>Woodbury Central</v>
      </c>
      <c r="C335" s="22">
        <f>INDEX(Data[],MATCH($A335,Data[Dist],0),MATCH(C$6,Data[#Headers],0))</f>
        <v>352263</v>
      </c>
      <c r="D335" s="164">
        <f>INDEX(Data[],MATCH($A335,Data[Dist],0),MATCH(D$6,Data[#Headers],0))</f>
        <v>349974</v>
      </c>
      <c r="E335" s="164">
        <f>INDEX(Data[],MATCH($A335,Data[Dist],0),MATCH(E$6,Data[#Headers],0))</f>
        <v>349973</v>
      </c>
      <c r="F335" s="164">
        <f>INDEX(Data[],MATCH($A335,Data[Dist],0),MATCH(F$6,Data[#Headers],0))</f>
        <v>349974</v>
      </c>
      <c r="G335" s="22">
        <f>INDEX(Data[],MATCH($A335,Data[Dist],0),MATCH(G$6,Data[#Headers],0))</f>
        <v>3508893</v>
      </c>
      <c r="H335" s="22">
        <f>INDEX(Data[],MATCH($A335,Data[Dist],0),MATCH(H$6,Data[#Headers],0))-G335</f>
        <v>0</v>
      </c>
      <c r="I335" s="23"/>
      <c r="J335" s="22">
        <f>INDEX(Notes!$I$2:$N$11,MATCH(Notes!$B$2,Notes!$I$2:$I$11,0),4)*$C335</f>
        <v>1409052</v>
      </c>
      <c r="K335" s="22">
        <f>INDEX(Notes!$I$2:$N$11,MATCH(Notes!$B$2,Notes!$I$2:$I$11,0),5)*$D335</f>
        <v>699948</v>
      </c>
      <c r="L335" s="22">
        <f>INDEX(Notes!$I$2:$N$11,MATCH(Notes!$B$2,Notes!$I$2:$I$11,0),6)*$E335</f>
        <v>1049919</v>
      </c>
      <c r="M335" s="22">
        <f>IF(Notes!$B$2="June",'Payment Total'!$F335,0)</f>
        <v>349974</v>
      </c>
      <c r="N335" s="22">
        <f t="shared" si="35"/>
        <v>0</v>
      </c>
      <c r="P335" s="21">
        <v>70980000</v>
      </c>
      <c r="Q335" s="21">
        <v>349974</v>
      </c>
      <c r="R335" s="21" t="str">
        <f t="shared" si="36"/>
        <v>7098</v>
      </c>
      <c r="S335" s="44" t="str">
        <f t="shared" si="37"/>
        <v>7098</v>
      </c>
      <c r="T335" s="20">
        <f t="shared" si="38"/>
        <v>0</v>
      </c>
      <c r="V335" s="20" t="s">
        <v>1140</v>
      </c>
      <c r="W335" s="21">
        <v>349974</v>
      </c>
      <c r="X335" s="21" t="str">
        <f t="shared" si="39"/>
        <v>7098</v>
      </c>
      <c r="Y335" s="44" t="str">
        <f t="shared" si="40"/>
        <v>7098</v>
      </c>
      <c r="Z335" s="45">
        <f t="shared" si="41"/>
        <v>0</v>
      </c>
    </row>
    <row r="336" spans="1:26" s="21" customFormat="1" ht="12.75" x14ac:dyDescent="0.2">
      <c r="A336" s="20" t="str">
        <f>Data!B331</f>
        <v>7110</v>
      </c>
      <c r="B336" s="21" t="str">
        <f>INDEX(Data[],MATCH($A336,Data[Dist],0),MATCH(B$6,Data[#Headers],0))</f>
        <v>Woodward-Granger</v>
      </c>
      <c r="C336" s="22">
        <f>INDEX(Data[],MATCH($A336,Data[Dist],0),MATCH(C$6,Data[#Headers],0))</f>
        <v>587710</v>
      </c>
      <c r="D336" s="164">
        <f>INDEX(Data[],MATCH($A336,Data[Dist],0),MATCH(D$6,Data[#Headers],0))</f>
        <v>583713</v>
      </c>
      <c r="E336" s="164">
        <f>INDEX(Data[],MATCH($A336,Data[Dist],0),MATCH(E$6,Data[#Headers],0))</f>
        <v>583713</v>
      </c>
      <c r="F336" s="164">
        <f>INDEX(Data[],MATCH($A336,Data[Dist],0),MATCH(F$6,Data[#Headers],0))</f>
        <v>583712</v>
      </c>
      <c r="G336" s="22">
        <f>INDEX(Data[],MATCH($A336,Data[Dist],0),MATCH(G$6,Data[#Headers],0))</f>
        <v>5853117</v>
      </c>
      <c r="H336" s="22">
        <f>INDEX(Data[],MATCH($A336,Data[Dist],0),MATCH(H$6,Data[#Headers],0))-G336</f>
        <v>0</v>
      </c>
      <c r="I336" s="23"/>
      <c r="J336" s="22">
        <f>INDEX(Notes!$I$2:$N$11,MATCH(Notes!$B$2,Notes!$I$2:$I$11,0),4)*$C336</f>
        <v>2350840</v>
      </c>
      <c r="K336" s="22">
        <f>INDEX(Notes!$I$2:$N$11,MATCH(Notes!$B$2,Notes!$I$2:$I$11,0),5)*$D336</f>
        <v>1167426</v>
      </c>
      <c r="L336" s="22">
        <f>INDEX(Notes!$I$2:$N$11,MATCH(Notes!$B$2,Notes!$I$2:$I$11,0),6)*$E336</f>
        <v>1751139</v>
      </c>
      <c r="M336" s="22">
        <f>IF(Notes!$B$2="June",'Payment Total'!$F336,0)</f>
        <v>583712</v>
      </c>
      <c r="N336" s="22">
        <f t="shared" si="35"/>
        <v>0</v>
      </c>
      <c r="P336" s="21">
        <v>71100000</v>
      </c>
      <c r="Q336" s="21">
        <v>583712</v>
      </c>
      <c r="R336" s="21" t="str">
        <f t="shared" si="36"/>
        <v>7110</v>
      </c>
      <c r="S336" s="44" t="str">
        <f t="shared" si="37"/>
        <v>7110</v>
      </c>
      <c r="T336" s="20">
        <f t="shared" si="38"/>
        <v>0</v>
      </c>
      <c r="V336" s="20" t="s">
        <v>1141</v>
      </c>
      <c r="W336" s="21">
        <v>583712</v>
      </c>
      <c r="X336" s="21" t="str">
        <f t="shared" si="39"/>
        <v>7110</v>
      </c>
      <c r="Y336" s="44" t="str">
        <f t="shared" si="40"/>
        <v>7110</v>
      </c>
      <c r="Z336" s="45">
        <f t="shared" si="41"/>
        <v>0</v>
      </c>
    </row>
    <row r="337" spans="1:23" s="21" customFormat="1" ht="13.5" thickBot="1" x14ac:dyDescent="0.25">
      <c r="A337" s="23"/>
      <c r="C337" s="24">
        <f t="shared" ref="C337:H337" si="42">SUM(C7:C336)</f>
        <v>299625839</v>
      </c>
      <c r="D337" s="165">
        <f t="shared" si="42"/>
        <v>297601459</v>
      </c>
      <c r="E337" s="165">
        <f t="shared" si="42"/>
        <v>296979492</v>
      </c>
      <c r="F337" s="165">
        <f t="shared" si="42"/>
        <v>296979319</v>
      </c>
      <c r="G337" s="24">
        <f t="shared" si="42"/>
        <v>2981624069</v>
      </c>
      <c r="H337" s="24">
        <f t="shared" si="42"/>
        <v>0</v>
      </c>
      <c r="Q337" s="21">
        <f>SUM(Q7:Q336)</f>
        <v>296979319</v>
      </c>
      <c r="T337" s="44"/>
      <c r="V337" s="20"/>
      <c r="W337" s="21">
        <f>SUM(W7:W336)</f>
        <v>296979317</v>
      </c>
    </row>
    <row r="338" spans="1:23" s="21" customFormat="1" ht="13.5" thickTop="1" x14ac:dyDescent="0.2">
      <c r="A338" s="23"/>
      <c r="C338" s="22"/>
      <c r="D338" s="164"/>
      <c r="E338" s="164"/>
      <c r="F338" s="164"/>
      <c r="G338" s="22"/>
      <c r="H338" s="22"/>
      <c r="T338" s="44"/>
    </row>
    <row r="339" spans="1:23" s="26" customFormat="1" x14ac:dyDescent="0.2">
      <c r="A339" s="25"/>
      <c r="C339" s="27"/>
      <c r="D339" s="166"/>
      <c r="E339" s="166"/>
      <c r="F339" s="166"/>
      <c r="G339" s="27"/>
      <c r="H339" s="27"/>
      <c r="T339" s="66"/>
    </row>
    <row r="340" spans="1:23" s="26" customFormat="1" x14ac:dyDescent="0.2">
      <c r="A340" s="25"/>
      <c r="C340" s="27"/>
      <c r="D340" s="166"/>
      <c r="E340" s="166"/>
      <c r="F340" s="166"/>
      <c r="G340" s="27"/>
      <c r="H340" s="27"/>
      <c r="T340" s="66"/>
    </row>
    <row r="341" spans="1:23" s="26" customFormat="1" x14ac:dyDescent="0.2">
      <c r="A341" s="25"/>
      <c r="C341" s="27"/>
      <c r="D341" s="166"/>
      <c r="E341" s="166"/>
      <c r="F341" s="166"/>
      <c r="G341" s="27"/>
      <c r="H341" s="27"/>
      <c r="T341" s="66"/>
    </row>
    <row r="342" spans="1:23" s="26" customFormat="1" x14ac:dyDescent="0.2">
      <c r="A342" s="25"/>
      <c r="C342" s="27"/>
      <c r="D342" s="166"/>
      <c r="E342" s="166"/>
      <c r="F342" s="166"/>
      <c r="G342" s="27"/>
      <c r="H342" s="27"/>
      <c r="T342" s="66"/>
    </row>
    <row r="343" spans="1:23" s="26" customFormat="1" x14ac:dyDescent="0.2">
      <c r="A343" s="25"/>
      <c r="C343" s="27"/>
      <c r="D343" s="166"/>
      <c r="E343" s="166"/>
      <c r="F343" s="166"/>
      <c r="G343" s="27"/>
      <c r="H343" s="27"/>
      <c r="T343" s="66"/>
    </row>
    <row r="344" spans="1:23" s="26" customFormat="1" x14ac:dyDescent="0.2">
      <c r="A344" s="25"/>
      <c r="C344" s="27"/>
      <c r="D344" s="166"/>
      <c r="E344" s="166"/>
      <c r="F344" s="166"/>
      <c r="G344" s="27"/>
      <c r="H344" s="27"/>
      <c r="T344" s="66"/>
    </row>
    <row r="345" spans="1:23" s="26" customFormat="1" x14ac:dyDescent="0.2">
      <c r="A345" s="25"/>
      <c r="C345" s="27"/>
      <c r="D345" s="166"/>
      <c r="E345" s="166"/>
      <c r="F345" s="166"/>
      <c r="G345" s="27"/>
      <c r="H345" s="27"/>
      <c r="T345" s="66"/>
    </row>
    <row r="346" spans="1:23" s="26" customFormat="1" x14ac:dyDescent="0.2">
      <c r="A346" s="25"/>
      <c r="C346" s="27"/>
      <c r="D346" s="166"/>
      <c r="E346" s="166"/>
      <c r="F346" s="166"/>
      <c r="G346" s="27"/>
      <c r="H346" s="27"/>
      <c r="T346" s="66"/>
    </row>
    <row r="347" spans="1:23" s="26" customFormat="1" x14ac:dyDescent="0.2">
      <c r="A347" s="25"/>
      <c r="C347" s="27"/>
      <c r="D347" s="166"/>
      <c r="E347" s="166"/>
      <c r="F347" s="166"/>
      <c r="G347" s="27"/>
      <c r="H347" s="27"/>
      <c r="T347" s="66"/>
    </row>
    <row r="348" spans="1:23" s="26" customFormat="1" x14ac:dyDescent="0.2">
      <c r="A348" s="25"/>
      <c r="C348" s="27"/>
      <c r="D348" s="166"/>
      <c r="E348" s="166"/>
      <c r="F348" s="166"/>
      <c r="G348" s="27"/>
      <c r="H348" s="27"/>
      <c r="T348" s="66"/>
    </row>
  </sheetData>
  <sheetProtection sheet="1" objects="1" scenarios="1" formatCells="0" formatColumns="0" formatRows="0"/>
  <mergeCells count="14">
    <mergeCell ref="Z2:AC5"/>
    <mergeCell ref="Y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37"/>
  <sheetViews>
    <sheetView workbookViewId="0">
      <pane xSplit="2" ySplit="4" topLeftCell="C305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60" bestFit="1" customWidth="1"/>
    <col min="10" max="10" width="9.140625" style="21" customWidth="1"/>
    <col min="11" max="11" width="20.5703125" style="70" hidden="1" customWidth="1"/>
    <col min="12" max="15" width="9.140625" style="59" hidden="1" customWidth="1"/>
    <col min="16" max="20" width="9.140625" style="160" hidden="1" customWidth="1"/>
    <col min="21" max="21" width="15.140625" style="160" hidden="1" customWidth="1"/>
    <col min="22" max="23" width="9.140625" style="160" hidden="1" customWidth="1"/>
    <col min="24" max="24" width="9.140625" style="21" customWidth="1"/>
    <col min="25" max="16384" width="9.140625" style="21"/>
  </cols>
  <sheetData>
    <row r="1" spans="1:24" s="14" customFormat="1" ht="17.25" customHeight="1" x14ac:dyDescent="0.3">
      <c r="A1" s="193" t="str">
        <f>CONCATENATE("FY ",Notes!$B$1," Budget for State Payments to School Districts (",Notes!$B$2," by Source)")</f>
        <v>FY 2019 Budget for State Payments to School Districts (June by Source)</v>
      </c>
      <c r="B1" s="193"/>
      <c r="C1" s="193"/>
      <c r="D1" s="193"/>
      <c r="E1" s="193"/>
      <c r="F1" s="193"/>
      <c r="G1" s="193"/>
      <c r="H1" s="193"/>
      <c r="I1" s="193"/>
      <c r="K1" s="68"/>
      <c r="L1" s="183" t="s">
        <v>1142</v>
      </c>
      <c r="M1" s="183"/>
      <c r="N1" s="183"/>
      <c r="O1" s="183"/>
      <c r="P1" s="157"/>
      <c r="Q1" s="157"/>
      <c r="R1" s="157"/>
      <c r="S1" s="157"/>
      <c r="T1" s="157"/>
      <c r="U1" s="157"/>
      <c r="V1" s="157"/>
      <c r="W1" s="157"/>
    </row>
    <row r="2" spans="1:24" s="14" customFormat="1" x14ac:dyDescent="0.2">
      <c r="A2" s="13"/>
      <c r="B2" s="50"/>
      <c r="C2" s="51" t="s">
        <v>7</v>
      </c>
      <c r="D2" s="52" t="s">
        <v>8</v>
      </c>
      <c r="E2" s="52" t="s">
        <v>9</v>
      </c>
      <c r="F2" s="52" t="s">
        <v>10</v>
      </c>
      <c r="G2" s="52" t="s">
        <v>14</v>
      </c>
      <c r="H2" s="52" t="s">
        <v>15</v>
      </c>
      <c r="I2" s="53" t="s">
        <v>16</v>
      </c>
      <c r="K2" s="68"/>
      <c r="L2" s="183"/>
      <c r="M2" s="183"/>
      <c r="N2" s="183"/>
      <c r="O2" s="183"/>
      <c r="P2" s="157"/>
      <c r="Q2" s="157"/>
      <c r="R2" s="157"/>
      <c r="S2" s="157"/>
      <c r="T2" s="157"/>
      <c r="U2" s="157"/>
      <c r="V2" s="157"/>
      <c r="W2" s="157"/>
    </row>
    <row r="3" spans="1:24" s="14" customFormat="1" x14ac:dyDescent="0.2">
      <c r="A3" s="13"/>
      <c r="C3" s="54"/>
      <c r="D3" s="54"/>
      <c r="E3" s="55"/>
      <c r="F3" s="54"/>
      <c r="G3" s="54"/>
      <c r="H3" s="55"/>
      <c r="I3" s="56" t="s">
        <v>17</v>
      </c>
      <c r="K3" s="68"/>
      <c r="L3" s="183"/>
      <c r="M3" s="183"/>
      <c r="N3" s="183"/>
      <c r="O3" s="183"/>
      <c r="P3" s="157" t="s">
        <v>764</v>
      </c>
      <c r="Q3" s="157" t="s">
        <v>712</v>
      </c>
      <c r="R3" s="157" t="s">
        <v>362</v>
      </c>
      <c r="S3" s="157" t="s">
        <v>363</v>
      </c>
      <c r="T3" s="157" t="s">
        <v>763</v>
      </c>
      <c r="U3" s="157" t="s">
        <v>765</v>
      </c>
      <c r="V3" s="157"/>
      <c r="W3" s="157"/>
    </row>
    <row r="4" spans="1:24" s="14" customFormat="1" ht="38.25" x14ac:dyDescent="0.2">
      <c r="A4" s="13"/>
      <c r="C4" s="33" t="s">
        <v>764</v>
      </c>
      <c r="D4" s="33" t="s">
        <v>712</v>
      </c>
      <c r="E4" s="34" t="s">
        <v>362</v>
      </c>
      <c r="F4" s="33" t="s">
        <v>363</v>
      </c>
      <c r="G4" s="33" t="s">
        <v>763</v>
      </c>
      <c r="H4" s="34" t="s">
        <v>765</v>
      </c>
      <c r="I4" s="34" t="s">
        <v>360</v>
      </c>
      <c r="K4" s="69" t="s">
        <v>748</v>
      </c>
      <c r="L4" s="183"/>
      <c r="M4" s="183"/>
      <c r="N4" s="183"/>
      <c r="O4" s="183"/>
      <c r="P4" s="157" t="s">
        <v>781</v>
      </c>
      <c r="Q4" s="157"/>
      <c r="R4" s="157"/>
      <c r="S4" s="157"/>
      <c r="T4" s="157"/>
      <c r="U4" s="157"/>
      <c r="V4" s="157"/>
      <c r="W4" s="157"/>
    </row>
    <row r="5" spans="1:24" s="14" customFormat="1" hidden="1" x14ac:dyDescent="0.2">
      <c r="A5" s="17"/>
      <c r="B5" s="18" t="str">
        <f>Data[[#Headers],[Label]]</f>
        <v>Label</v>
      </c>
      <c r="C5" s="57"/>
      <c r="D5" s="57"/>
      <c r="E5" s="57"/>
      <c r="F5" s="57"/>
      <c r="G5" s="57"/>
      <c r="H5" s="57"/>
      <c r="I5" s="58" t="str">
        <f>CONCATENATE(Notes!$B$2," Payment")</f>
        <v>June Payment</v>
      </c>
      <c r="K5" s="68" t="s">
        <v>749</v>
      </c>
      <c r="L5" s="38"/>
      <c r="M5" s="38"/>
      <c r="N5" s="38"/>
      <c r="O5" s="38"/>
      <c r="P5" s="157"/>
      <c r="Q5" s="157"/>
      <c r="R5" s="157"/>
      <c r="S5" s="157"/>
      <c r="T5" s="157"/>
      <c r="U5" s="157"/>
      <c r="V5" s="157"/>
      <c r="W5" s="157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12739</v>
      </c>
      <c r="D6" s="22">
        <f>IF(Notes!$B$2="June",ROUND('Budget by Source'!D6/10,0)+Q6,ROUND('Budget by Source'!D6/10,0))</f>
        <v>38068</v>
      </c>
      <c r="E6" s="22">
        <f>IF(Notes!$B$2="June",ROUND('Budget by Source'!E6/10,0)+R6,ROUND('Budget by Source'!E6/10,0))</f>
        <v>3597</v>
      </c>
      <c r="F6" s="22">
        <f>IF(Notes!$B$2="June",ROUND('Budget by Source'!F6/10,0)+S6,ROUND('Budget by Source'!F6/10,0))</f>
        <v>4103</v>
      </c>
      <c r="G6" s="22">
        <f>IF(Notes!$B$2="June",ROUND('Budget by Source'!G6/10,0)+T6,ROUND('Budget by Source'!G6/10,0))</f>
        <v>20446</v>
      </c>
      <c r="H6" s="22">
        <f>I6-SUM(C6:G6)</f>
        <v>218383</v>
      </c>
      <c r="I6" s="22">
        <f>INDEX(Data[],MATCH($A6,Data[Dist],0),MATCH(I$5,Data[#Headers],0))</f>
        <v>297336</v>
      </c>
      <c r="K6" s="70">
        <f>INDEX('Payment Total'!$A$7:$H$336,MATCH('Payment by Source'!$A6,'Payment Total'!$A$7:$A$336,0),6)-I6</f>
        <v>0</v>
      </c>
      <c r="P6" s="158">
        <f>INDEX('Budget by Source'!$A$6:$I$335,MATCH('Payment by Source'!$A6,'Budget by Source'!$A$6:$A$335,0),MATCH(P$3,'Budget by Source'!$A$5:$I$5,0))-(ROUND(INDEX('Budget by Source'!$A$6:$I$335,MATCH('Payment by Source'!$A6,'Budget by Source'!$A$6:$A$335,0),MATCH(P$3,'Budget by Source'!$A$5:$I$5,0))/10,0)*10)</f>
        <v>4</v>
      </c>
      <c r="Q6" s="158">
        <f>INDEX('Budget by Source'!$A$6:$I$335,MATCH('Payment by Source'!$A6,'Budget by Source'!$A$6:$A$335,0),MATCH(Q$3,'Budget by Source'!$A$5:$I$5,0))-(ROUND(INDEX('Budget by Source'!$A$6:$I$335,MATCH('Payment by Source'!$A6,'Budget by Source'!$A$6:$A$335,0),MATCH(Q$3,'Budget by Source'!$A$5:$I$5,0))/10,0)*10)</f>
        <v>3</v>
      </c>
      <c r="R6" s="158">
        <f>INDEX('Budget by Source'!$A$6:$I$335,MATCH('Payment by Source'!$A6,'Budget by Source'!$A$6:$A$335,0),MATCH(R$3,'Budget by Source'!$A$5:$I$5,0))-(ROUND(INDEX('Budget by Source'!$A$6:$I$335,MATCH('Payment by Source'!$A6,'Budget by Source'!$A$6:$A$335,0),MATCH(R$3,'Budget by Source'!$A$5:$I$5,0))/10,0)*10)</f>
        <v>3</v>
      </c>
      <c r="S6" s="158">
        <f>INDEX('Budget by Source'!$A$6:$I$335,MATCH('Payment by Source'!$A6,'Budget by Source'!$A$6:$A$335,0),MATCH(S$3,'Budget by Source'!$A$5:$I$5,0))-(ROUND(INDEX('Budget by Source'!$A$6:$I$335,MATCH('Payment by Source'!$A6,'Budget by Source'!$A$6:$A$335,0),MATCH(S$3,'Budget by Source'!$A$5:$I$5,0))/10,0)*10)</f>
        <v>-4</v>
      </c>
      <c r="T6" s="158">
        <f>INDEX('Budget by Source'!$A$6:$I$335,MATCH('Payment by Source'!$A6,'Budget by Source'!$A$6:$A$335,0),MATCH(T$3,'Budget by Source'!$A$5:$I$5,0))-(ROUND(INDEX('Budget by Source'!$A$6:$I$335,MATCH('Payment by Source'!$A6,'Budget by Source'!$A$6:$A$335,0),MATCH(T$3,'Budget by Source'!$A$5:$I$5,0))/10,0)*10)</f>
        <v>-3</v>
      </c>
      <c r="U6" s="159">
        <f>INDEX('Budget by Source'!$A$6:$I$335,MATCH('Payment by Source'!$A6,'Budget by Source'!$A$6:$A$335,0),MATCH(U$3,'Budget by Source'!$A$5:$I$5,0))</f>
        <v>2194298</v>
      </c>
      <c r="V6" s="156">
        <f>ROUND(U6/10,0)</f>
        <v>219430</v>
      </c>
      <c r="W6" s="156">
        <f>V6*10</f>
        <v>2194300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3355</v>
      </c>
      <c r="D7" s="22">
        <f>IF(Notes!$B$2="June",ROUND('Budget by Source'!D7/10,0)+Q7,ROUND('Budget by Source'!D7/10,0))</f>
        <v>18994</v>
      </c>
      <c r="E7" s="22">
        <f>IF(Notes!$B$2="June",ROUND('Budget by Source'!E7/10,0)+R7,ROUND('Budget by Source'!E7/10,0))</f>
        <v>2091</v>
      </c>
      <c r="F7" s="22">
        <f>IF(Notes!$B$2="June",ROUND('Budget by Source'!F7/10,0)+S7,ROUND('Budget by Source'!F7/10,0))</f>
        <v>1891</v>
      </c>
      <c r="G7" s="22">
        <f>IF(Notes!$B$2="June",ROUND('Budget by Source'!G7/10,0)+T7,ROUND('Budget by Source'!G7/10,0))</f>
        <v>9803</v>
      </c>
      <c r="H7" s="22">
        <f t="shared" ref="H7:H70" si="0">I7-SUM(C7:G7)</f>
        <v>108362</v>
      </c>
      <c r="I7" s="22">
        <f>INDEX(Data[],MATCH($A7,Data[Dist],0),MATCH(I$5,Data[#Headers],0))</f>
        <v>144496</v>
      </c>
      <c r="K7" s="70">
        <f>INDEX('Payment Total'!$A$7:$H$336,MATCH('Payment by Source'!$A7,'Payment Total'!$A$7:$A$336,0),6)-I7</f>
        <v>0</v>
      </c>
      <c r="P7" s="158">
        <f>INDEX('Budget by Source'!$A$6:$I$335,MATCH('Payment by Source'!$A7,'Budget by Source'!$A$6:$A$335,0),MATCH(P$3,'Budget by Source'!$A$5:$I$5,0))-(ROUND(INDEX('Budget by Source'!$A$6:$I$335,MATCH('Payment by Source'!$A7,'Budget by Source'!$A$6:$A$335,0),MATCH(P$3,'Budget by Source'!$A$5:$I$5,0))/10,0)*10)</f>
        <v>4</v>
      </c>
      <c r="Q7" s="158">
        <f>INDEX('Budget by Source'!$A$6:$I$335,MATCH('Payment by Source'!$A7,'Budget by Source'!$A$6:$A$335,0),MATCH(Q$3,'Budget by Source'!$A$5:$I$5,0))-(ROUND(INDEX('Budget by Source'!$A$6:$I$335,MATCH('Payment by Source'!$A7,'Budget by Source'!$A$6:$A$335,0),MATCH(Q$3,'Budget by Source'!$A$5:$I$5,0))/10,0)*10)</f>
        <v>-4</v>
      </c>
      <c r="R7" s="158">
        <f>INDEX('Budget by Source'!$A$6:$I$335,MATCH('Payment by Source'!$A7,'Budget by Source'!$A$6:$A$335,0),MATCH(R$3,'Budget by Source'!$A$5:$I$5,0))-(ROUND(INDEX('Budget by Source'!$A$6:$I$335,MATCH('Payment by Source'!$A7,'Budget by Source'!$A$6:$A$335,0),MATCH(R$3,'Budget by Source'!$A$5:$I$5,0))/10,0)*10)</f>
        <v>-1</v>
      </c>
      <c r="S7" s="158">
        <f>INDEX('Budget by Source'!$A$6:$I$335,MATCH('Payment by Source'!$A7,'Budget by Source'!$A$6:$A$335,0),MATCH(S$3,'Budget by Source'!$A$5:$I$5,0))-(ROUND(INDEX('Budget by Source'!$A$6:$I$335,MATCH('Payment by Source'!$A7,'Budget by Source'!$A$6:$A$335,0),MATCH(S$3,'Budget by Source'!$A$5:$I$5,0))/10,0)*10)</f>
        <v>-3</v>
      </c>
      <c r="T7" s="158">
        <f>INDEX('Budget by Source'!$A$6:$I$335,MATCH('Payment by Source'!$A7,'Budget by Source'!$A$6:$A$335,0),MATCH(T$3,'Budget by Source'!$A$5:$I$5,0))-(ROUND(INDEX('Budget by Source'!$A$6:$I$335,MATCH('Payment by Source'!$A7,'Budget by Source'!$A$6:$A$335,0),MATCH(T$3,'Budget by Source'!$A$5:$I$5,0))/10,0)*10)</f>
        <v>-2</v>
      </c>
      <c r="U7" s="159">
        <f>INDEX('Budget by Source'!$A$6:$I$335,MATCH('Payment by Source'!$A7,'Budget by Source'!$A$6:$A$335,0),MATCH(U$3,'Budget by Source'!$A$5:$I$5,0))</f>
        <v>1088566</v>
      </c>
      <c r="V7" s="156">
        <f t="shared" ref="V7:V70" si="1">ROUND(U7/10,0)</f>
        <v>108857</v>
      </c>
      <c r="W7" s="156">
        <f t="shared" ref="W7:W70" si="2">V7*10</f>
        <v>1088570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0</v>
      </c>
      <c r="D8" s="22">
        <f>IF(Notes!$B$2="June",ROUND('Budget by Source'!D8/10,0)+Q8,ROUND('Budget by Source'!D8/10,0))</f>
        <v>102284</v>
      </c>
      <c r="E8" s="22">
        <f>IF(Notes!$B$2="June",ROUND('Budget by Source'!E8/10,0)+R8,ROUND('Budget by Source'!E8/10,0))</f>
        <v>11511</v>
      </c>
      <c r="F8" s="22">
        <f>IF(Notes!$B$2="June",ROUND('Budget by Source'!F8/10,0)+S8,ROUND('Budget by Source'!F8/10,0))</f>
        <v>11070</v>
      </c>
      <c r="G8" s="22">
        <f>IF(Notes!$B$2="June",ROUND('Budget by Source'!G8/10,0)+T8,ROUND('Budget by Source'!G8/10,0))</f>
        <v>56478</v>
      </c>
      <c r="H8" s="22">
        <f t="shared" si="0"/>
        <v>879081</v>
      </c>
      <c r="I8" s="22">
        <f>INDEX(Data[],MATCH($A8,Data[Dist],0),MATCH(I$5,Data[#Headers],0))</f>
        <v>1060424</v>
      </c>
      <c r="K8" s="70">
        <f>INDEX('Payment Total'!$A$7:$H$336,MATCH('Payment by Source'!$A8,'Payment Total'!$A$7:$A$336,0),6)-I8</f>
        <v>0</v>
      </c>
      <c r="P8" s="158">
        <f>INDEX('Budget by Source'!$A$6:$I$335,MATCH('Payment by Source'!$A8,'Budget by Source'!$A$6:$A$335,0),MATCH(P$3,'Budget by Source'!$A$5:$I$5,0))-(ROUND(INDEX('Budget by Source'!$A$6:$I$335,MATCH('Payment by Source'!$A8,'Budget by Source'!$A$6:$A$335,0),MATCH(P$3,'Budget by Source'!$A$5:$I$5,0))/10,0)*10)</f>
        <v>0</v>
      </c>
      <c r="Q8" s="158">
        <f>INDEX('Budget by Source'!$A$6:$I$335,MATCH('Payment by Source'!$A8,'Budget by Source'!$A$6:$A$335,0),MATCH(Q$3,'Budget by Source'!$A$5:$I$5,0))-(ROUND(INDEX('Budget by Source'!$A$6:$I$335,MATCH('Payment by Source'!$A8,'Budget by Source'!$A$6:$A$335,0),MATCH(Q$3,'Budget by Source'!$A$5:$I$5,0))/10,0)*10)</f>
        <v>3</v>
      </c>
      <c r="R8" s="158">
        <f>INDEX('Budget by Source'!$A$6:$I$335,MATCH('Payment by Source'!$A8,'Budget by Source'!$A$6:$A$335,0),MATCH(R$3,'Budget by Source'!$A$5:$I$5,0))-(ROUND(INDEX('Budget by Source'!$A$6:$I$335,MATCH('Payment by Source'!$A8,'Budget by Source'!$A$6:$A$335,0),MATCH(R$3,'Budget by Source'!$A$5:$I$5,0))/10,0)*10)</f>
        <v>1</v>
      </c>
      <c r="S8" s="158">
        <f>INDEX('Budget by Source'!$A$6:$I$335,MATCH('Payment by Source'!$A8,'Budget by Source'!$A$6:$A$335,0),MATCH(S$3,'Budget by Source'!$A$5:$I$5,0))-(ROUND(INDEX('Budget by Source'!$A$6:$I$335,MATCH('Payment by Source'!$A8,'Budget by Source'!$A$6:$A$335,0),MATCH(S$3,'Budget by Source'!$A$5:$I$5,0))/10,0)*10)</f>
        <v>3</v>
      </c>
      <c r="T8" s="158">
        <f>INDEX('Budget by Source'!$A$6:$I$335,MATCH('Payment by Source'!$A8,'Budget by Source'!$A$6:$A$335,0),MATCH(T$3,'Budget by Source'!$A$5:$I$5,0))-(ROUND(INDEX('Budget by Source'!$A$6:$I$335,MATCH('Payment by Source'!$A8,'Budget by Source'!$A$6:$A$335,0),MATCH(T$3,'Budget by Source'!$A$5:$I$5,0))/10,0)*10)</f>
        <v>0</v>
      </c>
      <c r="U8" s="159">
        <f>INDEX('Budget by Source'!$A$6:$I$335,MATCH('Payment by Source'!$A8,'Budget by Source'!$A$6:$A$335,0),MATCH(U$3,'Budget by Source'!$A$5:$I$5,0))</f>
        <v>8819693</v>
      </c>
      <c r="V8" s="156">
        <f t="shared" si="1"/>
        <v>881969</v>
      </c>
      <c r="W8" s="156">
        <f t="shared" si="2"/>
        <v>8819690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10720</v>
      </c>
      <c r="D9" s="22">
        <f>IF(Notes!$B$2="June",ROUND('Budget by Source'!D9/10,0)+Q9,ROUND('Budget by Source'!D9/10,0))</f>
        <v>33868</v>
      </c>
      <c r="E9" s="22">
        <f>IF(Notes!$B$2="June",ROUND('Budget by Source'!E9/10,0)+R9,ROUND('Budget by Source'!E9/10,0))</f>
        <v>3737</v>
      </c>
      <c r="F9" s="22">
        <f>IF(Notes!$B$2="June",ROUND('Budget by Source'!F9/10,0)+S9,ROUND('Budget by Source'!F9/10,0))</f>
        <v>3881</v>
      </c>
      <c r="G9" s="22">
        <f>IF(Notes!$B$2="June",ROUND('Budget by Source'!G9/10,0)+T9,ROUND('Budget by Source'!G9/10,0))</f>
        <v>17780</v>
      </c>
      <c r="H9" s="22">
        <f t="shared" si="0"/>
        <v>281326</v>
      </c>
      <c r="I9" s="22">
        <f>INDEX(Data[],MATCH($A9,Data[Dist],0),MATCH(I$5,Data[#Headers],0))</f>
        <v>351312</v>
      </c>
      <c r="K9" s="70">
        <f>INDEX('Payment Total'!$A$7:$H$336,MATCH('Payment by Source'!$A9,'Payment Total'!$A$7:$A$336,0),6)-I9</f>
        <v>0</v>
      </c>
      <c r="P9" s="158">
        <f>INDEX('Budget by Source'!$A$6:$I$335,MATCH('Payment by Source'!$A9,'Budget by Source'!$A$6:$A$335,0),MATCH(P$3,'Budget by Source'!$A$5:$I$5,0))-(ROUND(INDEX('Budget by Source'!$A$6:$I$335,MATCH('Payment by Source'!$A9,'Budget by Source'!$A$6:$A$335,0),MATCH(P$3,'Budget by Source'!$A$5:$I$5,0))/10,0)*10)</f>
        <v>-5</v>
      </c>
      <c r="Q9" s="158">
        <f>INDEX('Budget by Source'!$A$6:$I$335,MATCH('Payment by Source'!$A9,'Budget by Source'!$A$6:$A$335,0),MATCH(Q$3,'Budget by Source'!$A$5:$I$5,0))-(ROUND(INDEX('Budget by Source'!$A$6:$I$335,MATCH('Payment by Source'!$A9,'Budget by Source'!$A$6:$A$335,0),MATCH(Q$3,'Budget by Source'!$A$5:$I$5,0))/10,0)*10)</f>
        <v>2</v>
      </c>
      <c r="R9" s="158">
        <f>INDEX('Budget by Source'!$A$6:$I$335,MATCH('Payment by Source'!$A9,'Budget by Source'!$A$6:$A$335,0),MATCH(R$3,'Budget by Source'!$A$5:$I$5,0))-(ROUND(INDEX('Budget by Source'!$A$6:$I$335,MATCH('Payment by Source'!$A9,'Budget by Source'!$A$6:$A$335,0),MATCH(R$3,'Budget by Source'!$A$5:$I$5,0))/10,0)*10)</f>
        <v>-5</v>
      </c>
      <c r="S9" s="158">
        <f>INDEX('Budget by Source'!$A$6:$I$335,MATCH('Payment by Source'!$A9,'Budget by Source'!$A$6:$A$335,0),MATCH(S$3,'Budget by Source'!$A$5:$I$5,0))-(ROUND(INDEX('Budget by Source'!$A$6:$I$335,MATCH('Payment by Source'!$A9,'Budget by Source'!$A$6:$A$335,0),MATCH(S$3,'Budget by Source'!$A$5:$I$5,0))/10,0)*10)</f>
        <v>3</v>
      </c>
      <c r="T9" s="158">
        <f>INDEX('Budget by Source'!$A$6:$I$335,MATCH('Payment by Source'!$A9,'Budget by Source'!$A$6:$A$335,0),MATCH(T$3,'Budget by Source'!$A$5:$I$5,0))-(ROUND(INDEX('Budget by Source'!$A$6:$I$335,MATCH('Payment by Source'!$A9,'Budget by Source'!$A$6:$A$335,0),MATCH(T$3,'Budget by Source'!$A$5:$I$5,0))/10,0)*10)</f>
        <v>-5</v>
      </c>
      <c r="U9" s="159">
        <f>INDEX('Budget by Source'!$A$6:$I$335,MATCH('Payment by Source'!$A9,'Budget by Source'!$A$6:$A$335,0),MATCH(U$3,'Budget by Source'!$A$5:$I$5,0))</f>
        <v>2822233</v>
      </c>
      <c r="V9" s="156">
        <f t="shared" si="1"/>
        <v>282223</v>
      </c>
      <c r="W9" s="156">
        <f t="shared" si="2"/>
        <v>2822230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5365</v>
      </c>
      <c r="D10" s="22">
        <f>IF(Notes!$B$2="June",ROUND('Budget by Source'!D10/10,0)+Q10,ROUND('Budget by Source'!D10/10,0))</f>
        <v>10702</v>
      </c>
      <c r="E10" s="22">
        <f>IF(Notes!$B$2="June",ROUND('Budget by Source'!E10/10,0)+R10,ROUND('Budget by Source'!E10/10,0))</f>
        <v>938</v>
      </c>
      <c r="F10" s="22">
        <f>IF(Notes!$B$2="June",ROUND('Budget by Source'!F10/10,0)+S10,ROUND('Budget by Source'!F10/10,0))</f>
        <v>911</v>
      </c>
      <c r="G10" s="22">
        <f>IF(Notes!$B$2="June",ROUND('Budget by Source'!G10/10,0)+T10,ROUND('Budget by Source'!G10/10,0))</f>
        <v>6990</v>
      </c>
      <c r="H10" s="22">
        <f t="shared" si="0"/>
        <v>70018</v>
      </c>
      <c r="I10" s="22">
        <f>INDEX(Data[],MATCH($A10,Data[Dist],0),MATCH(I$5,Data[#Headers],0))</f>
        <v>94924</v>
      </c>
      <c r="K10" s="70">
        <f>INDEX('Payment Total'!$A$7:$H$336,MATCH('Payment by Source'!$A10,'Payment Total'!$A$7:$A$336,0),6)-I10</f>
        <v>0</v>
      </c>
      <c r="P10" s="158">
        <f>INDEX('Budget by Source'!$A$6:$I$335,MATCH('Payment by Source'!$A10,'Budget by Source'!$A$6:$A$335,0),MATCH(P$3,'Budget by Source'!$A$5:$I$5,0))-(ROUND(INDEX('Budget by Source'!$A$6:$I$335,MATCH('Payment by Source'!$A10,'Budget by Source'!$A$6:$A$335,0),MATCH(P$3,'Budget by Source'!$A$5:$I$5,0))/10,0)*10)</f>
        <v>3</v>
      </c>
      <c r="Q10" s="158">
        <f>INDEX('Budget by Source'!$A$6:$I$335,MATCH('Payment by Source'!$A10,'Budget by Source'!$A$6:$A$335,0),MATCH(Q$3,'Budget by Source'!$A$5:$I$5,0))-(ROUND(INDEX('Budget by Source'!$A$6:$I$335,MATCH('Payment by Source'!$A10,'Budget by Source'!$A$6:$A$335,0),MATCH(Q$3,'Budget by Source'!$A$5:$I$5,0))/10,0)*10)</f>
        <v>-1</v>
      </c>
      <c r="R10" s="158">
        <f>INDEX('Budget by Source'!$A$6:$I$335,MATCH('Payment by Source'!$A10,'Budget by Source'!$A$6:$A$335,0),MATCH(R$3,'Budget by Source'!$A$5:$I$5,0))-(ROUND(INDEX('Budget by Source'!$A$6:$I$335,MATCH('Payment by Source'!$A10,'Budget by Source'!$A$6:$A$335,0),MATCH(R$3,'Budget by Source'!$A$5:$I$5,0))/10,0)*10)</f>
        <v>-4</v>
      </c>
      <c r="S10" s="158">
        <f>INDEX('Budget by Source'!$A$6:$I$335,MATCH('Payment by Source'!$A10,'Budget by Source'!$A$6:$A$335,0),MATCH(S$3,'Budget by Source'!$A$5:$I$5,0))-(ROUND(INDEX('Budget by Source'!$A$6:$I$335,MATCH('Payment by Source'!$A10,'Budget by Source'!$A$6:$A$335,0),MATCH(S$3,'Budget by Source'!$A$5:$I$5,0))/10,0)*10)</f>
        <v>4</v>
      </c>
      <c r="T10" s="158">
        <f>INDEX('Budget by Source'!$A$6:$I$335,MATCH('Payment by Source'!$A10,'Budget by Source'!$A$6:$A$335,0),MATCH(T$3,'Budget by Source'!$A$5:$I$5,0))-(ROUND(INDEX('Budget by Source'!$A$6:$I$335,MATCH('Payment by Source'!$A10,'Budget by Source'!$A$6:$A$335,0),MATCH(T$3,'Budget by Source'!$A$5:$I$5,0))/10,0)*10)</f>
        <v>-4</v>
      </c>
      <c r="U10" s="159">
        <f>INDEX('Budget by Source'!$A$6:$I$335,MATCH('Payment by Source'!$A10,'Budget by Source'!$A$6:$A$335,0),MATCH(U$3,'Budget by Source'!$A$5:$I$5,0))</f>
        <v>712271</v>
      </c>
      <c r="V10" s="156">
        <f t="shared" si="1"/>
        <v>71227</v>
      </c>
      <c r="W10" s="156">
        <f t="shared" si="2"/>
        <v>712270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22122</v>
      </c>
      <c r="D11" s="22">
        <f>IF(Notes!$B$2="June",ROUND('Budget by Source'!D11/10,0)+Q11,ROUND('Budget by Source'!D11/10,0))</f>
        <v>68131</v>
      </c>
      <c r="E11" s="22">
        <f>IF(Notes!$B$2="June",ROUND('Budget by Source'!E11/10,0)+R11,ROUND('Budget by Source'!E11/10,0))</f>
        <v>7634</v>
      </c>
      <c r="F11" s="22">
        <f>IF(Notes!$B$2="June",ROUND('Budget by Source'!F11/10,0)+S11,ROUND('Budget by Source'!F11/10,0))</f>
        <v>7886</v>
      </c>
      <c r="G11" s="22">
        <f>IF(Notes!$B$2="June",ROUND('Budget by Source'!G11/10,0)+T11,ROUND('Budget by Source'!G11/10,0))</f>
        <v>39305</v>
      </c>
      <c r="H11" s="22">
        <f t="shared" si="0"/>
        <v>639532</v>
      </c>
      <c r="I11" s="22">
        <f>INDEX(Data[],MATCH($A11,Data[Dist],0),MATCH(I$5,Data[#Headers],0))</f>
        <v>784610</v>
      </c>
      <c r="K11" s="70">
        <f>INDEX('Payment Total'!$A$7:$H$336,MATCH('Payment by Source'!$A11,'Payment Total'!$A$7:$A$336,0),6)-I11</f>
        <v>0</v>
      </c>
      <c r="P11" s="158">
        <f>INDEX('Budget by Source'!$A$6:$I$335,MATCH('Payment by Source'!$A11,'Budget by Source'!$A$6:$A$335,0),MATCH(P$3,'Budget by Source'!$A$5:$I$5,0))-(ROUND(INDEX('Budget by Source'!$A$6:$I$335,MATCH('Payment by Source'!$A11,'Budget by Source'!$A$6:$A$335,0),MATCH(P$3,'Budget by Source'!$A$5:$I$5,0))/10,0)*10)</f>
        <v>3</v>
      </c>
      <c r="Q11" s="158">
        <f>INDEX('Budget by Source'!$A$6:$I$335,MATCH('Payment by Source'!$A11,'Budget by Source'!$A$6:$A$335,0),MATCH(Q$3,'Budget by Source'!$A$5:$I$5,0))-(ROUND(INDEX('Budget by Source'!$A$6:$I$335,MATCH('Payment by Source'!$A11,'Budget by Source'!$A$6:$A$335,0),MATCH(Q$3,'Budget by Source'!$A$5:$I$5,0))/10,0)*10)</f>
        <v>0</v>
      </c>
      <c r="R11" s="158">
        <f>INDEX('Budget by Source'!$A$6:$I$335,MATCH('Payment by Source'!$A11,'Budget by Source'!$A$6:$A$335,0),MATCH(R$3,'Budget by Source'!$A$5:$I$5,0))-(ROUND(INDEX('Budget by Source'!$A$6:$I$335,MATCH('Payment by Source'!$A11,'Budget by Source'!$A$6:$A$335,0),MATCH(R$3,'Budget by Source'!$A$5:$I$5,0))/10,0)*10)</f>
        <v>0</v>
      </c>
      <c r="S11" s="158">
        <f>INDEX('Budget by Source'!$A$6:$I$335,MATCH('Payment by Source'!$A11,'Budget by Source'!$A$6:$A$335,0),MATCH(S$3,'Budget by Source'!$A$5:$I$5,0))-(ROUND(INDEX('Budget by Source'!$A$6:$I$335,MATCH('Payment by Source'!$A11,'Budget by Source'!$A$6:$A$335,0),MATCH(S$3,'Budget by Source'!$A$5:$I$5,0))/10,0)*10)</f>
        <v>-5</v>
      </c>
      <c r="T11" s="158">
        <f>INDEX('Budget by Source'!$A$6:$I$335,MATCH('Payment by Source'!$A11,'Budget by Source'!$A$6:$A$335,0),MATCH(T$3,'Budget by Source'!$A$5:$I$5,0))-(ROUND(INDEX('Budget by Source'!$A$6:$I$335,MATCH('Payment by Source'!$A11,'Budget by Source'!$A$6:$A$335,0),MATCH(T$3,'Budget by Source'!$A$5:$I$5,0))/10,0)*10)</f>
        <v>2</v>
      </c>
      <c r="U11" s="159">
        <f>INDEX('Budget by Source'!$A$6:$I$335,MATCH('Payment by Source'!$A11,'Budget by Source'!$A$6:$A$335,0),MATCH(U$3,'Budget by Source'!$A$5:$I$5,0))</f>
        <v>6427001</v>
      </c>
      <c r="V11" s="156">
        <f t="shared" si="1"/>
        <v>642700</v>
      </c>
      <c r="W11" s="156">
        <f t="shared" si="2"/>
        <v>6427000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10720</v>
      </c>
      <c r="D12" s="22">
        <f>IF(Notes!$B$2="June",ROUND('Budget by Source'!D12/10,0)+Q12,ROUND('Budget by Source'!D12/10,0))</f>
        <v>30853</v>
      </c>
      <c r="E12" s="22">
        <f>IF(Notes!$B$2="June",ROUND('Budget by Source'!E12/10,0)+R12,ROUND('Budget by Source'!E12/10,0))</f>
        <v>2972</v>
      </c>
      <c r="F12" s="22">
        <f>IF(Notes!$B$2="June",ROUND('Budget by Source'!F12/10,0)+S12,ROUND('Budget by Source'!F12/10,0))</f>
        <v>3561</v>
      </c>
      <c r="G12" s="22">
        <f>IF(Notes!$B$2="June",ROUND('Budget by Source'!G12/10,0)+T12,ROUND('Budget by Source'!G12/10,0))</f>
        <v>17151</v>
      </c>
      <c r="H12" s="22">
        <f t="shared" si="0"/>
        <v>232032</v>
      </c>
      <c r="I12" s="22">
        <f>INDEX(Data[],MATCH($A12,Data[Dist],0),MATCH(I$5,Data[#Headers],0))</f>
        <v>297289</v>
      </c>
      <c r="K12" s="70">
        <f>INDEX('Payment Total'!$A$7:$H$336,MATCH('Payment by Source'!$A12,'Payment Total'!$A$7:$A$336,0),6)-I12</f>
        <v>0</v>
      </c>
      <c r="P12" s="158">
        <f>INDEX('Budget by Source'!$A$6:$I$335,MATCH('Payment by Source'!$A12,'Budget by Source'!$A$6:$A$335,0),MATCH(P$3,'Budget by Source'!$A$5:$I$5,0))-(ROUND(INDEX('Budget by Source'!$A$6:$I$335,MATCH('Payment by Source'!$A12,'Budget by Source'!$A$6:$A$335,0),MATCH(P$3,'Budget by Source'!$A$5:$I$5,0))/10,0)*10)</f>
        <v>-5</v>
      </c>
      <c r="Q12" s="158">
        <f>INDEX('Budget by Source'!$A$6:$I$335,MATCH('Payment by Source'!$A12,'Budget by Source'!$A$6:$A$335,0),MATCH(Q$3,'Budget by Source'!$A$5:$I$5,0))-(ROUND(INDEX('Budget by Source'!$A$6:$I$335,MATCH('Payment by Source'!$A12,'Budget by Source'!$A$6:$A$335,0),MATCH(Q$3,'Budget by Source'!$A$5:$I$5,0))/10,0)*10)</f>
        <v>0</v>
      </c>
      <c r="R12" s="158">
        <f>INDEX('Budget by Source'!$A$6:$I$335,MATCH('Payment by Source'!$A12,'Budget by Source'!$A$6:$A$335,0),MATCH(R$3,'Budget by Source'!$A$5:$I$5,0))-(ROUND(INDEX('Budget by Source'!$A$6:$I$335,MATCH('Payment by Source'!$A12,'Budget by Source'!$A$6:$A$335,0),MATCH(R$3,'Budget by Source'!$A$5:$I$5,0))/10,0)*10)</f>
        <v>1</v>
      </c>
      <c r="S12" s="158">
        <f>INDEX('Budget by Source'!$A$6:$I$335,MATCH('Payment by Source'!$A12,'Budget by Source'!$A$6:$A$335,0),MATCH(S$3,'Budget by Source'!$A$5:$I$5,0))-(ROUND(INDEX('Budget by Source'!$A$6:$I$335,MATCH('Payment by Source'!$A12,'Budget by Source'!$A$6:$A$335,0),MATCH(S$3,'Budget by Source'!$A$5:$I$5,0))/10,0)*10)</f>
        <v>0</v>
      </c>
      <c r="T12" s="158">
        <f>INDEX('Budget by Source'!$A$6:$I$335,MATCH('Payment by Source'!$A12,'Budget by Source'!$A$6:$A$335,0),MATCH(T$3,'Budget by Source'!$A$5:$I$5,0))-(ROUND(INDEX('Budget by Source'!$A$6:$I$335,MATCH('Payment by Source'!$A12,'Budget by Source'!$A$6:$A$335,0),MATCH(T$3,'Budget by Source'!$A$5:$I$5,0))/10,0)*10)</f>
        <v>0</v>
      </c>
      <c r="U12" s="159">
        <f>INDEX('Budget by Source'!$A$6:$I$335,MATCH('Payment by Source'!$A12,'Budget by Source'!$A$6:$A$335,0),MATCH(U$3,'Budget by Source'!$A$5:$I$5,0))</f>
        <v>2329037</v>
      </c>
      <c r="V12" s="156">
        <f t="shared" si="1"/>
        <v>232904</v>
      </c>
      <c r="W12" s="156">
        <f t="shared" si="2"/>
        <v>2329040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7038</v>
      </c>
      <c r="D13" s="22">
        <f>IF(Notes!$B$2="June",ROUND('Budget by Source'!D13/10,0)+Q13,ROUND('Budget by Source'!D13/10,0))</f>
        <v>17399</v>
      </c>
      <c r="E13" s="22">
        <f>IF(Notes!$B$2="June",ROUND('Budget by Source'!E13/10,0)+R13,ROUND('Budget by Source'!E13/10,0))</f>
        <v>2158</v>
      </c>
      <c r="F13" s="22">
        <f>IF(Notes!$B$2="June",ROUND('Budget by Source'!F13/10,0)+S13,ROUND('Budget by Source'!F13/10,0))</f>
        <v>1646</v>
      </c>
      <c r="G13" s="22">
        <f>IF(Notes!$B$2="June",ROUND('Budget by Source'!G13/10,0)+T13,ROUND('Budget by Source'!G13/10,0))</f>
        <v>9101</v>
      </c>
      <c r="H13" s="22">
        <f t="shared" si="0"/>
        <v>114638</v>
      </c>
      <c r="I13" s="22">
        <f>INDEX(Data[],MATCH($A13,Data[Dist],0),MATCH(I$5,Data[#Headers],0))</f>
        <v>151980</v>
      </c>
      <c r="K13" s="70">
        <f>INDEX('Payment Total'!$A$7:$H$336,MATCH('Payment by Source'!$A13,'Payment Total'!$A$7:$A$336,0),6)-I13</f>
        <v>0</v>
      </c>
      <c r="P13" s="158">
        <f>INDEX('Budget by Source'!$A$6:$I$335,MATCH('Payment by Source'!$A13,'Budget by Source'!$A$6:$A$335,0),MATCH(P$3,'Budget by Source'!$A$5:$I$5,0))-(ROUND(INDEX('Budget by Source'!$A$6:$I$335,MATCH('Payment by Source'!$A13,'Budget by Source'!$A$6:$A$335,0),MATCH(P$3,'Budget by Source'!$A$5:$I$5,0))/10,0)*10)</f>
        <v>0</v>
      </c>
      <c r="Q13" s="158">
        <f>INDEX('Budget by Source'!$A$6:$I$335,MATCH('Payment by Source'!$A13,'Budget by Source'!$A$6:$A$335,0),MATCH(Q$3,'Budget by Source'!$A$5:$I$5,0))-(ROUND(INDEX('Budget by Source'!$A$6:$I$335,MATCH('Payment by Source'!$A13,'Budget by Source'!$A$6:$A$335,0),MATCH(Q$3,'Budget by Source'!$A$5:$I$5,0))/10,0)*10)</f>
        <v>0</v>
      </c>
      <c r="R13" s="158">
        <f>INDEX('Budget by Source'!$A$6:$I$335,MATCH('Payment by Source'!$A13,'Budget by Source'!$A$6:$A$335,0),MATCH(R$3,'Budget by Source'!$A$5:$I$5,0))-(ROUND(INDEX('Budget by Source'!$A$6:$I$335,MATCH('Payment by Source'!$A13,'Budget by Source'!$A$6:$A$335,0),MATCH(R$3,'Budget by Source'!$A$5:$I$5,0))/10,0)*10)</f>
        <v>0</v>
      </c>
      <c r="S13" s="158">
        <f>INDEX('Budget by Source'!$A$6:$I$335,MATCH('Payment by Source'!$A13,'Budget by Source'!$A$6:$A$335,0),MATCH(S$3,'Budget by Source'!$A$5:$I$5,0))-(ROUND(INDEX('Budget by Source'!$A$6:$I$335,MATCH('Payment by Source'!$A13,'Budget by Source'!$A$6:$A$335,0),MATCH(S$3,'Budget by Source'!$A$5:$I$5,0))/10,0)*10)</f>
        <v>-4</v>
      </c>
      <c r="T13" s="158">
        <f>INDEX('Budget by Source'!$A$6:$I$335,MATCH('Payment by Source'!$A13,'Budget by Source'!$A$6:$A$335,0),MATCH(T$3,'Budget by Source'!$A$5:$I$5,0))-(ROUND(INDEX('Budget by Source'!$A$6:$I$335,MATCH('Payment by Source'!$A13,'Budget by Source'!$A$6:$A$335,0),MATCH(T$3,'Budget by Source'!$A$5:$I$5,0))/10,0)*10)</f>
        <v>1</v>
      </c>
      <c r="U13" s="159">
        <f>INDEX('Budget by Source'!$A$6:$I$335,MATCH('Payment by Source'!$A13,'Budget by Source'!$A$6:$A$335,0),MATCH(U$3,'Budget by Source'!$A$5:$I$5,0))</f>
        <v>1150820</v>
      </c>
      <c r="V13" s="156">
        <f t="shared" si="1"/>
        <v>115082</v>
      </c>
      <c r="W13" s="156">
        <f t="shared" si="2"/>
        <v>1150820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39880</v>
      </c>
      <c r="D14" s="22">
        <f>IF(Notes!$B$2="June",ROUND('Budget by Source'!D14/10,0)+Q14,ROUND('Budget by Source'!D14/10,0))</f>
        <v>77418</v>
      </c>
      <c r="E14" s="22">
        <f>IF(Notes!$B$2="June",ROUND('Budget by Source'!E14/10,0)+R14,ROUND('Budget by Source'!E14/10,0))</f>
        <v>8189</v>
      </c>
      <c r="F14" s="22">
        <f>IF(Notes!$B$2="June",ROUND('Budget by Source'!F14/10,0)+S14,ROUND('Budget by Source'!F14/10,0))</f>
        <v>9367</v>
      </c>
      <c r="G14" s="22">
        <f>IF(Notes!$B$2="June",ROUND('Budget by Source'!G14/10,0)+T14,ROUND('Budget by Source'!G14/10,0))</f>
        <v>42973</v>
      </c>
      <c r="H14" s="22">
        <f t="shared" si="0"/>
        <v>478666</v>
      </c>
      <c r="I14" s="22">
        <f>INDEX(Data[],MATCH($A14,Data[Dist],0),MATCH(I$5,Data[#Headers],0))</f>
        <v>656493</v>
      </c>
      <c r="K14" s="70">
        <f>INDEX('Payment Total'!$A$7:$H$336,MATCH('Payment by Source'!$A14,'Payment Total'!$A$7:$A$336,0),6)-I14</f>
        <v>0</v>
      </c>
      <c r="P14" s="158">
        <f>INDEX('Budget by Source'!$A$6:$I$335,MATCH('Payment by Source'!$A14,'Budget by Source'!$A$6:$A$335,0),MATCH(P$3,'Budget by Source'!$A$5:$I$5,0))-(ROUND(INDEX('Budget by Source'!$A$6:$I$335,MATCH('Payment by Source'!$A14,'Budget by Source'!$A$6:$A$335,0),MATCH(P$3,'Budget by Source'!$A$5:$I$5,0))/10,0)*10)</f>
        <v>-2</v>
      </c>
      <c r="Q14" s="158">
        <f>INDEX('Budget by Source'!$A$6:$I$335,MATCH('Payment by Source'!$A14,'Budget by Source'!$A$6:$A$335,0),MATCH(Q$3,'Budget by Source'!$A$5:$I$5,0))-(ROUND(INDEX('Budget by Source'!$A$6:$I$335,MATCH('Payment by Source'!$A14,'Budget by Source'!$A$6:$A$335,0),MATCH(Q$3,'Budget by Source'!$A$5:$I$5,0))/10,0)*10)</f>
        <v>-1</v>
      </c>
      <c r="R14" s="158">
        <f>INDEX('Budget by Source'!$A$6:$I$335,MATCH('Payment by Source'!$A14,'Budget by Source'!$A$6:$A$335,0),MATCH(R$3,'Budget by Source'!$A$5:$I$5,0))-(ROUND(INDEX('Budget by Source'!$A$6:$I$335,MATCH('Payment by Source'!$A14,'Budget by Source'!$A$6:$A$335,0),MATCH(R$3,'Budget by Source'!$A$5:$I$5,0))/10,0)*10)</f>
        <v>4</v>
      </c>
      <c r="S14" s="158">
        <f>INDEX('Budget by Source'!$A$6:$I$335,MATCH('Payment by Source'!$A14,'Budget by Source'!$A$6:$A$335,0),MATCH(S$3,'Budget by Source'!$A$5:$I$5,0))-(ROUND(INDEX('Budget by Source'!$A$6:$I$335,MATCH('Payment by Source'!$A14,'Budget by Source'!$A$6:$A$335,0),MATCH(S$3,'Budget by Source'!$A$5:$I$5,0))/10,0)*10)</f>
        <v>4</v>
      </c>
      <c r="T14" s="158">
        <f>INDEX('Budget by Source'!$A$6:$I$335,MATCH('Payment by Source'!$A14,'Budget by Source'!$A$6:$A$335,0),MATCH(T$3,'Budget by Source'!$A$5:$I$5,0))-(ROUND(INDEX('Budget by Source'!$A$6:$I$335,MATCH('Payment by Source'!$A14,'Budget by Source'!$A$6:$A$335,0),MATCH(T$3,'Budget by Source'!$A$5:$I$5,0))/10,0)*10)</f>
        <v>-1</v>
      </c>
      <c r="U14" s="159">
        <f>INDEX('Budget by Source'!$A$6:$I$335,MATCH('Payment by Source'!$A14,'Budget by Source'!$A$6:$A$335,0),MATCH(U$3,'Budget by Source'!$A$5:$I$5,0))</f>
        <v>4808609</v>
      </c>
      <c r="V14" s="156">
        <f t="shared" si="1"/>
        <v>480861</v>
      </c>
      <c r="W14" s="156">
        <f t="shared" si="2"/>
        <v>4808610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23459</v>
      </c>
      <c r="D15" s="22">
        <f>IF(Notes!$B$2="June",ROUND('Budget by Source'!D15/10,0)+Q15,ROUND('Budget by Source'!D15/10,0))</f>
        <v>62493</v>
      </c>
      <c r="E15" s="22">
        <f>IF(Notes!$B$2="June",ROUND('Budget by Source'!E15/10,0)+R15,ROUND('Budget by Source'!E15/10,0))</f>
        <v>7263</v>
      </c>
      <c r="F15" s="22">
        <f>IF(Notes!$B$2="June",ROUND('Budget by Source'!F15/10,0)+S15,ROUND('Budget by Source'!F15/10,0))</f>
        <v>6615</v>
      </c>
      <c r="G15" s="22">
        <f>IF(Notes!$B$2="June",ROUND('Budget by Source'!G15/10,0)+T15,ROUND('Budget by Source'!G15/10,0))</f>
        <v>35722</v>
      </c>
      <c r="H15" s="22">
        <f t="shared" si="0"/>
        <v>452565</v>
      </c>
      <c r="I15" s="22">
        <f>INDEX(Data[],MATCH($A15,Data[Dist],0),MATCH(I$5,Data[#Headers],0))</f>
        <v>588117</v>
      </c>
      <c r="K15" s="70">
        <f>INDEX('Payment Total'!$A$7:$H$336,MATCH('Payment by Source'!$A15,'Payment Total'!$A$7:$A$336,0),6)-I15</f>
        <v>0</v>
      </c>
      <c r="P15" s="158">
        <f>INDEX('Budget by Source'!$A$6:$I$335,MATCH('Payment by Source'!$A15,'Budget by Source'!$A$6:$A$335,0),MATCH(P$3,'Budget by Source'!$A$5:$I$5,0))-(ROUND(INDEX('Budget by Source'!$A$6:$I$335,MATCH('Payment by Source'!$A15,'Budget by Source'!$A$6:$A$335,0),MATCH(P$3,'Budget by Source'!$A$5:$I$5,0))/10,0)*10)</f>
        <v>-1</v>
      </c>
      <c r="Q15" s="158">
        <f>INDEX('Budget by Source'!$A$6:$I$335,MATCH('Payment by Source'!$A15,'Budget by Source'!$A$6:$A$335,0),MATCH(Q$3,'Budget by Source'!$A$5:$I$5,0))-(ROUND(INDEX('Budget by Source'!$A$6:$I$335,MATCH('Payment by Source'!$A15,'Budget by Source'!$A$6:$A$335,0),MATCH(Q$3,'Budget by Source'!$A$5:$I$5,0))/10,0)*10)</f>
        <v>0</v>
      </c>
      <c r="R15" s="158">
        <f>INDEX('Budget by Source'!$A$6:$I$335,MATCH('Payment by Source'!$A15,'Budget by Source'!$A$6:$A$335,0),MATCH(R$3,'Budget by Source'!$A$5:$I$5,0))-(ROUND(INDEX('Budget by Source'!$A$6:$I$335,MATCH('Payment by Source'!$A15,'Budget by Source'!$A$6:$A$335,0),MATCH(R$3,'Budget by Source'!$A$5:$I$5,0))/10,0)*10)</f>
        <v>-4</v>
      </c>
      <c r="S15" s="158">
        <f>INDEX('Budget by Source'!$A$6:$I$335,MATCH('Payment by Source'!$A15,'Budget by Source'!$A$6:$A$335,0),MATCH(S$3,'Budget by Source'!$A$5:$I$5,0))-(ROUND(INDEX('Budget by Source'!$A$6:$I$335,MATCH('Payment by Source'!$A15,'Budget by Source'!$A$6:$A$335,0),MATCH(S$3,'Budget by Source'!$A$5:$I$5,0))/10,0)*10)</f>
        <v>3</v>
      </c>
      <c r="T15" s="158">
        <f>INDEX('Budget by Source'!$A$6:$I$335,MATCH('Payment by Source'!$A15,'Budget by Source'!$A$6:$A$335,0),MATCH(T$3,'Budget by Source'!$A$5:$I$5,0))-(ROUND(INDEX('Budget by Source'!$A$6:$I$335,MATCH('Payment by Source'!$A15,'Budget by Source'!$A$6:$A$335,0),MATCH(T$3,'Budget by Source'!$A$5:$I$5,0))/10,0)*10)</f>
        <v>-4</v>
      </c>
      <c r="U15" s="159">
        <f>INDEX('Budget by Source'!$A$6:$I$335,MATCH('Payment by Source'!$A15,'Budget by Source'!$A$6:$A$335,0),MATCH(U$3,'Budget by Source'!$A$5:$I$5,0))</f>
        <v>4543825</v>
      </c>
      <c r="V15" s="156">
        <f t="shared" si="1"/>
        <v>454383</v>
      </c>
      <c r="W15" s="156">
        <f t="shared" si="2"/>
        <v>4543830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11730</v>
      </c>
      <c r="D16" s="22">
        <f>IF(Notes!$B$2="June",ROUND('Budget by Source'!D16/10,0)+Q16,ROUND('Budget by Source'!D16/10,0))</f>
        <v>38826</v>
      </c>
      <c r="E16" s="22">
        <f>IF(Notes!$B$2="June",ROUND('Budget by Source'!E16/10,0)+R16,ROUND('Budget by Source'!E16/10,0))</f>
        <v>3650</v>
      </c>
      <c r="F16" s="22">
        <f>IF(Notes!$B$2="June",ROUND('Budget by Source'!F16/10,0)+S16,ROUND('Budget by Source'!F16/10,0))</f>
        <v>4342</v>
      </c>
      <c r="G16" s="22">
        <f>IF(Notes!$B$2="June",ROUND('Budget by Source'!G16/10,0)+T16,ROUND('Budget by Source'!G16/10,0))</f>
        <v>19134</v>
      </c>
      <c r="H16" s="22">
        <f t="shared" si="0"/>
        <v>253152</v>
      </c>
      <c r="I16" s="22">
        <f>INDEX(Data[],MATCH($A16,Data[Dist],0),MATCH(I$5,Data[#Headers],0))</f>
        <v>330834</v>
      </c>
      <c r="K16" s="70">
        <f>INDEX('Payment Total'!$A$7:$H$336,MATCH('Payment by Source'!$A16,'Payment Total'!$A$7:$A$336,0),6)-I16</f>
        <v>0</v>
      </c>
      <c r="P16" s="158">
        <f>INDEX('Budget by Source'!$A$6:$I$335,MATCH('Payment by Source'!$A16,'Budget by Source'!$A$6:$A$335,0),MATCH(P$3,'Budget by Source'!$A$5:$I$5,0))-(ROUND(INDEX('Budget by Source'!$A$6:$I$335,MATCH('Payment by Source'!$A16,'Budget by Source'!$A$6:$A$335,0),MATCH(P$3,'Budget by Source'!$A$5:$I$5,0))/10,0)*10)</f>
        <v>0</v>
      </c>
      <c r="Q16" s="158">
        <f>INDEX('Budget by Source'!$A$6:$I$335,MATCH('Payment by Source'!$A16,'Budget by Source'!$A$6:$A$335,0),MATCH(Q$3,'Budget by Source'!$A$5:$I$5,0))-(ROUND(INDEX('Budget by Source'!$A$6:$I$335,MATCH('Payment by Source'!$A16,'Budget by Source'!$A$6:$A$335,0),MATCH(Q$3,'Budget by Source'!$A$5:$I$5,0))/10,0)*10)</f>
        <v>1</v>
      </c>
      <c r="R16" s="158">
        <f>INDEX('Budget by Source'!$A$6:$I$335,MATCH('Payment by Source'!$A16,'Budget by Source'!$A$6:$A$335,0),MATCH(R$3,'Budget by Source'!$A$5:$I$5,0))-(ROUND(INDEX('Budget by Source'!$A$6:$I$335,MATCH('Payment by Source'!$A16,'Budget by Source'!$A$6:$A$335,0),MATCH(R$3,'Budget by Source'!$A$5:$I$5,0))/10,0)*10)</f>
        <v>3</v>
      </c>
      <c r="S16" s="158">
        <f>INDEX('Budget by Source'!$A$6:$I$335,MATCH('Payment by Source'!$A16,'Budget by Source'!$A$6:$A$335,0),MATCH(S$3,'Budget by Source'!$A$5:$I$5,0))-(ROUND(INDEX('Budget by Source'!$A$6:$I$335,MATCH('Payment by Source'!$A16,'Budget by Source'!$A$6:$A$335,0),MATCH(S$3,'Budget by Source'!$A$5:$I$5,0))/10,0)*10)</f>
        <v>-3</v>
      </c>
      <c r="T16" s="158">
        <f>INDEX('Budget by Source'!$A$6:$I$335,MATCH('Payment by Source'!$A16,'Budget by Source'!$A$6:$A$335,0),MATCH(T$3,'Budget by Source'!$A$5:$I$5,0))-(ROUND(INDEX('Budget by Source'!$A$6:$I$335,MATCH('Payment by Source'!$A16,'Budget by Source'!$A$6:$A$335,0),MATCH(T$3,'Budget by Source'!$A$5:$I$5,0))/10,0)*10)</f>
        <v>-4</v>
      </c>
      <c r="U16" s="159">
        <f>INDEX('Budget by Source'!$A$6:$I$335,MATCH('Payment by Source'!$A16,'Budget by Source'!$A$6:$A$335,0),MATCH(U$3,'Budget by Source'!$A$5:$I$5,0))</f>
        <v>2541249</v>
      </c>
      <c r="V16" s="156">
        <f t="shared" si="1"/>
        <v>254125</v>
      </c>
      <c r="W16" s="156">
        <f t="shared" si="2"/>
        <v>2541250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23123</v>
      </c>
      <c r="D17" s="22">
        <f>IF(Notes!$B$2="June",ROUND('Budget by Source'!D17/10,0)+Q17,ROUND('Budget by Source'!D17/10,0))</f>
        <v>49476</v>
      </c>
      <c r="E17" s="22">
        <f>IF(Notes!$B$2="June",ROUND('Budget by Source'!E17/10,0)+R17,ROUND('Budget by Source'!E17/10,0))</f>
        <v>6017</v>
      </c>
      <c r="F17" s="22">
        <f>IF(Notes!$B$2="June",ROUND('Budget by Source'!F17/10,0)+S17,ROUND('Budget by Source'!F17/10,0))</f>
        <v>5652</v>
      </c>
      <c r="G17" s="22">
        <f>IF(Notes!$B$2="June",ROUND('Budget by Source'!G17/10,0)+T17,ROUND('Budget by Source'!G17/10,0))</f>
        <v>25302</v>
      </c>
      <c r="H17" s="22">
        <f t="shared" si="0"/>
        <v>373709</v>
      </c>
      <c r="I17" s="22">
        <f>INDEX(Data[],MATCH($A17,Data[Dist],0),MATCH(I$5,Data[#Headers],0))</f>
        <v>483279</v>
      </c>
      <c r="K17" s="70">
        <f>INDEX('Payment Total'!$A$7:$H$336,MATCH('Payment by Source'!$A17,'Payment Total'!$A$7:$A$336,0),6)-I17</f>
        <v>0</v>
      </c>
      <c r="P17" s="158">
        <f>INDEX('Budget by Source'!$A$6:$I$335,MATCH('Payment by Source'!$A17,'Budget by Source'!$A$6:$A$335,0),MATCH(P$3,'Budget by Source'!$A$5:$I$5,0))-(ROUND(INDEX('Budget by Source'!$A$6:$I$335,MATCH('Payment by Source'!$A17,'Budget by Source'!$A$6:$A$335,0),MATCH(P$3,'Budget by Source'!$A$5:$I$5,0))/10,0)*10)</f>
        <v>-2</v>
      </c>
      <c r="Q17" s="158">
        <f>INDEX('Budget by Source'!$A$6:$I$335,MATCH('Payment by Source'!$A17,'Budget by Source'!$A$6:$A$335,0),MATCH(Q$3,'Budget by Source'!$A$5:$I$5,0))-(ROUND(INDEX('Budget by Source'!$A$6:$I$335,MATCH('Payment by Source'!$A17,'Budget by Source'!$A$6:$A$335,0),MATCH(Q$3,'Budget by Source'!$A$5:$I$5,0))/10,0)*10)</f>
        <v>0</v>
      </c>
      <c r="R17" s="158">
        <f>INDEX('Budget by Source'!$A$6:$I$335,MATCH('Payment by Source'!$A17,'Budget by Source'!$A$6:$A$335,0),MATCH(R$3,'Budget by Source'!$A$5:$I$5,0))-(ROUND(INDEX('Budget by Source'!$A$6:$I$335,MATCH('Payment by Source'!$A17,'Budget by Source'!$A$6:$A$335,0),MATCH(R$3,'Budget by Source'!$A$5:$I$5,0))/10,0)*10)</f>
        <v>-1</v>
      </c>
      <c r="S17" s="158">
        <f>INDEX('Budget by Source'!$A$6:$I$335,MATCH('Payment by Source'!$A17,'Budget by Source'!$A$6:$A$335,0),MATCH(S$3,'Budget by Source'!$A$5:$I$5,0))-(ROUND(INDEX('Budget by Source'!$A$6:$I$335,MATCH('Payment by Source'!$A17,'Budget by Source'!$A$6:$A$335,0),MATCH(S$3,'Budget by Source'!$A$5:$I$5,0))/10,0)*10)</f>
        <v>-1</v>
      </c>
      <c r="T17" s="158">
        <f>INDEX('Budget by Source'!$A$6:$I$335,MATCH('Payment by Source'!$A17,'Budget by Source'!$A$6:$A$335,0),MATCH(T$3,'Budget by Source'!$A$5:$I$5,0))-(ROUND(INDEX('Budget by Source'!$A$6:$I$335,MATCH('Payment by Source'!$A17,'Budget by Source'!$A$6:$A$335,0),MATCH(T$3,'Budget by Source'!$A$5:$I$5,0))/10,0)*10)</f>
        <v>-2</v>
      </c>
      <c r="U17" s="159">
        <f>INDEX('Budget by Source'!$A$6:$I$335,MATCH('Payment by Source'!$A17,'Budget by Source'!$A$6:$A$335,0),MATCH(U$3,'Budget by Source'!$A$5:$I$5,0))</f>
        <v>3749935</v>
      </c>
      <c r="V17" s="156">
        <f t="shared" si="1"/>
        <v>374994</v>
      </c>
      <c r="W17" s="156">
        <f t="shared" si="2"/>
        <v>3749940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92836</v>
      </c>
      <c r="D18" s="22">
        <f>IF(Notes!$B$2="June",ROUND('Budget by Source'!D18/10,0)+Q18,ROUND('Budget by Source'!D18/10,0))</f>
        <v>249359</v>
      </c>
      <c r="E18" s="22">
        <f>IF(Notes!$B$2="June",ROUND('Budget by Source'!E18/10,0)+R18,ROUND('Budget by Source'!E18/10,0))</f>
        <v>27726</v>
      </c>
      <c r="F18" s="22">
        <f>IF(Notes!$B$2="June",ROUND('Budget by Source'!F18/10,0)+S18,ROUND('Budget by Source'!F18/10,0))</f>
        <v>30599</v>
      </c>
      <c r="G18" s="22">
        <f>IF(Notes!$B$2="June",ROUND('Budget by Source'!G18/10,0)+T18,ROUND('Budget by Source'!G18/10,0))</f>
        <v>140384</v>
      </c>
      <c r="H18" s="22">
        <f t="shared" si="0"/>
        <v>1263637</v>
      </c>
      <c r="I18" s="22">
        <f>INDEX(Data[],MATCH($A18,Data[Dist],0),MATCH(I$5,Data[#Headers],0))</f>
        <v>1804541</v>
      </c>
      <c r="K18" s="70">
        <f>INDEX('Payment Total'!$A$7:$H$336,MATCH('Payment by Source'!$A18,'Payment Total'!$A$7:$A$336,0),6)-I18</f>
        <v>0</v>
      </c>
      <c r="P18" s="158">
        <f>INDEX('Budget by Source'!$A$6:$I$335,MATCH('Payment by Source'!$A18,'Budget by Source'!$A$6:$A$335,0),MATCH(P$3,'Budget by Source'!$A$5:$I$5,0))-(ROUND(INDEX('Budget by Source'!$A$6:$I$335,MATCH('Payment by Source'!$A18,'Budget by Source'!$A$6:$A$335,0),MATCH(P$3,'Budget by Source'!$A$5:$I$5,0))/10,0)*10)</f>
        <v>2</v>
      </c>
      <c r="Q18" s="158">
        <f>INDEX('Budget by Source'!$A$6:$I$335,MATCH('Payment by Source'!$A18,'Budget by Source'!$A$6:$A$335,0),MATCH(Q$3,'Budget by Source'!$A$5:$I$5,0))-(ROUND(INDEX('Budget by Source'!$A$6:$I$335,MATCH('Payment by Source'!$A18,'Budget by Source'!$A$6:$A$335,0),MATCH(Q$3,'Budget by Source'!$A$5:$I$5,0))/10,0)*10)</f>
        <v>-4</v>
      </c>
      <c r="R18" s="158">
        <f>INDEX('Budget by Source'!$A$6:$I$335,MATCH('Payment by Source'!$A18,'Budget by Source'!$A$6:$A$335,0),MATCH(R$3,'Budget by Source'!$A$5:$I$5,0))-(ROUND(INDEX('Budget by Source'!$A$6:$I$335,MATCH('Payment by Source'!$A18,'Budget by Source'!$A$6:$A$335,0),MATCH(R$3,'Budget by Source'!$A$5:$I$5,0))/10,0)*10)</f>
        <v>1</v>
      </c>
      <c r="S18" s="158">
        <f>INDEX('Budget by Source'!$A$6:$I$335,MATCH('Payment by Source'!$A18,'Budget by Source'!$A$6:$A$335,0),MATCH(S$3,'Budget by Source'!$A$5:$I$5,0))-(ROUND(INDEX('Budget by Source'!$A$6:$I$335,MATCH('Payment by Source'!$A18,'Budget by Source'!$A$6:$A$335,0),MATCH(S$3,'Budget by Source'!$A$5:$I$5,0))/10,0)*10)</f>
        <v>-3</v>
      </c>
      <c r="T18" s="158">
        <f>INDEX('Budget by Source'!$A$6:$I$335,MATCH('Payment by Source'!$A18,'Budget by Source'!$A$6:$A$335,0),MATCH(T$3,'Budget by Source'!$A$5:$I$5,0))-(ROUND(INDEX('Budget by Source'!$A$6:$I$335,MATCH('Payment by Source'!$A18,'Budget by Source'!$A$6:$A$335,0),MATCH(T$3,'Budget by Source'!$A$5:$I$5,0))/10,0)*10)</f>
        <v>-5</v>
      </c>
      <c r="U18" s="159">
        <f>INDEX('Budget by Source'!$A$6:$I$335,MATCH('Payment by Source'!$A18,'Budget by Source'!$A$6:$A$335,0),MATCH(U$3,'Budget by Source'!$A$5:$I$5,0))</f>
        <v>12707889</v>
      </c>
      <c r="V18" s="156">
        <f t="shared" si="1"/>
        <v>1270789</v>
      </c>
      <c r="W18" s="156">
        <f t="shared" si="2"/>
        <v>12707890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20440</v>
      </c>
      <c r="D19" s="22">
        <f>IF(Notes!$B$2="June",ROUND('Budget by Source'!D19/10,0)+Q19,ROUND('Budget by Source'!D19/10,0))</f>
        <v>77728</v>
      </c>
      <c r="E19" s="22">
        <f>IF(Notes!$B$2="June",ROUND('Budget by Source'!E19/10,0)+R19,ROUND('Budget by Source'!E19/10,0))</f>
        <v>8143</v>
      </c>
      <c r="F19" s="22">
        <f>IF(Notes!$B$2="June",ROUND('Budget by Source'!F19/10,0)+S19,ROUND('Budget by Source'!F19/10,0))</f>
        <v>9243</v>
      </c>
      <c r="G19" s="22">
        <f>IF(Notes!$B$2="June",ROUND('Budget by Source'!G19/10,0)+T19,ROUND('Budget by Source'!G19/10,0))</f>
        <v>41735</v>
      </c>
      <c r="H19" s="22">
        <f t="shared" si="0"/>
        <v>626537</v>
      </c>
      <c r="I19" s="22">
        <f>INDEX(Data[],MATCH($A19,Data[Dist],0),MATCH(I$5,Data[#Headers],0))</f>
        <v>783826</v>
      </c>
      <c r="K19" s="70">
        <f>INDEX('Payment Total'!$A$7:$H$336,MATCH('Payment by Source'!$A19,'Payment Total'!$A$7:$A$336,0),6)-I19</f>
        <v>0</v>
      </c>
      <c r="P19" s="158">
        <f>INDEX('Budget by Source'!$A$6:$I$335,MATCH('Payment by Source'!$A19,'Budget by Source'!$A$6:$A$335,0),MATCH(P$3,'Budget by Source'!$A$5:$I$5,0))-(ROUND(INDEX('Budget by Source'!$A$6:$I$335,MATCH('Payment by Source'!$A19,'Budget by Source'!$A$6:$A$335,0),MATCH(P$3,'Budget by Source'!$A$5:$I$5,0))/10,0)*10)</f>
        <v>-4</v>
      </c>
      <c r="Q19" s="158">
        <f>INDEX('Budget by Source'!$A$6:$I$335,MATCH('Payment by Source'!$A19,'Budget by Source'!$A$6:$A$335,0),MATCH(Q$3,'Budget by Source'!$A$5:$I$5,0))-(ROUND(INDEX('Budget by Source'!$A$6:$I$335,MATCH('Payment by Source'!$A19,'Budget by Source'!$A$6:$A$335,0),MATCH(Q$3,'Budget by Source'!$A$5:$I$5,0))/10,0)*10)</f>
        <v>-5</v>
      </c>
      <c r="R19" s="158">
        <f>INDEX('Budget by Source'!$A$6:$I$335,MATCH('Payment by Source'!$A19,'Budget by Source'!$A$6:$A$335,0),MATCH(R$3,'Budget by Source'!$A$5:$I$5,0))-(ROUND(INDEX('Budget by Source'!$A$6:$I$335,MATCH('Payment by Source'!$A19,'Budget by Source'!$A$6:$A$335,0),MATCH(R$3,'Budget by Source'!$A$5:$I$5,0))/10,0)*10)</f>
        <v>1</v>
      </c>
      <c r="S19" s="158">
        <f>INDEX('Budget by Source'!$A$6:$I$335,MATCH('Payment by Source'!$A19,'Budget by Source'!$A$6:$A$335,0),MATCH(S$3,'Budget by Source'!$A$5:$I$5,0))-(ROUND(INDEX('Budget by Source'!$A$6:$I$335,MATCH('Payment by Source'!$A19,'Budget by Source'!$A$6:$A$335,0),MATCH(S$3,'Budget by Source'!$A$5:$I$5,0))/10,0)*10)</f>
        <v>-1</v>
      </c>
      <c r="T19" s="158">
        <f>INDEX('Budget by Source'!$A$6:$I$335,MATCH('Payment by Source'!$A19,'Budget by Source'!$A$6:$A$335,0),MATCH(T$3,'Budget by Source'!$A$5:$I$5,0))-(ROUND(INDEX('Budget by Source'!$A$6:$I$335,MATCH('Payment by Source'!$A19,'Budget by Source'!$A$6:$A$335,0),MATCH(T$3,'Budget by Source'!$A$5:$I$5,0))/10,0)*10)</f>
        <v>2</v>
      </c>
      <c r="U19" s="159">
        <f>INDEX('Budget by Source'!$A$6:$I$335,MATCH('Payment by Source'!$A19,'Budget by Source'!$A$6:$A$335,0),MATCH(U$3,'Budget by Source'!$A$5:$I$5,0))</f>
        <v>6286609</v>
      </c>
      <c r="V19" s="156">
        <f t="shared" si="1"/>
        <v>628661</v>
      </c>
      <c r="W19" s="156">
        <f t="shared" si="2"/>
        <v>6286610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6365</v>
      </c>
      <c r="D20" s="22">
        <f>IF(Notes!$B$2="June",ROUND('Budget by Source'!D20/10,0)+Q20,ROUND('Budget by Source'!D20/10,0))</f>
        <v>14879</v>
      </c>
      <c r="E20" s="22">
        <f>IF(Notes!$B$2="June",ROUND('Budget by Source'!E20/10,0)+R20,ROUND('Budget by Source'!E20/10,0))</f>
        <v>1881</v>
      </c>
      <c r="F20" s="22">
        <f>IF(Notes!$B$2="June",ROUND('Budget by Source'!F20/10,0)+S20,ROUND('Budget by Source'!F20/10,0))</f>
        <v>1642</v>
      </c>
      <c r="G20" s="22">
        <f>IF(Notes!$B$2="June",ROUND('Budget by Source'!G20/10,0)+T20,ROUND('Budget by Source'!G20/10,0))</f>
        <v>7776</v>
      </c>
      <c r="H20" s="22">
        <f t="shared" si="0"/>
        <v>107810</v>
      </c>
      <c r="I20" s="22">
        <f>INDEX(Data[],MATCH($A20,Data[Dist],0),MATCH(I$5,Data[#Headers],0))</f>
        <v>140353</v>
      </c>
      <c r="K20" s="70">
        <f>INDEX('Payment Total'!$A$7:$H$336,MATCH('Payment by Source'!$A20,'Payment Total'!$A$7:$A$336,0),6)-I20</f>
        <v>0</v>
      </c>
      <c r="P20" s="158">
        <f>INDEX('Budget by Source'!$A$6:$I$335,MATCH('Payment by Source'!$A20,'Budget by Source'!$A$6:$A$335,0),MATCH(P$3,'Budget by Source'!$A$5:$I$5,0))-(ROUND(INDEX('Budget by Source'!$A$6:$I$335,MATCH('Payment by Source'!$A20,'Budget by Source'!$A$6:$A$335,0),MATCH(P$3,'Budget by Source'!$A$5:$I$5,0))/10,0)*10)</f>
        <v>-3</v>
      </c>
      <c r="Q20" s="158">
        <f>INDEX('Budget by Source'!$A$6:$I$335,MATCH('Payment by Source'!$A20,'Budget by Source'!$A$6:$A$335,0),MATCH(Q$3,'Budget by Source'!$A$5:$I$5,0))-(ROUND(INDEX('Budget by Source'!$A$6:$I$335,MATCH('Payment by Source'!$A20,'Budget by Source'!$A$6:$A$335,0),MATCH(Q$3,'Budget by Source'!$A$5:$I$5,0))/10,0)*10)</f>
        <v>-1</v>
      </c>
      <c r="R20" s="158">
        <f>INDEX('Budget by Source'!$A$6:$I$335,MATCH('Payment by Source'!$A20,'Budget by Source'!$A$6:$A$335,0),MATCH(R$3,'Budget by Source'!$A$5:$I$5,0))-(ROUND(INDEX('Budget by Source'!$A$6:$I$335,MATCH('Payment by Source'!$A20,'Budget by Source'!$A$6:$A$335,0),MATCH(R$3,'Budget by Source'!$A$5:$I$5,0))/10,0)*10)</f>
        <v>3</v>
      </c>
      <c r="S20" s="158">
        <f>INDEX('Budget by Source'!$A$6:$I$335,MATCH('Payment by Source'!$A20,'Budget by Source'!$A$6:$A$335,0),MATCH(S$3,'Budget by Source'!$A$5:$I$5,0))-(ROUND(INDEX('Budget by Source'!$A$6:$I$335,MATCH('Payment by Source'!$A20,'Budget by Source'!$A$6:$A$335,0),MATCH(S$3,'Budget by Source'!$A$5:$I$5,0))/10,0)*10)</f>
        <v>3</v>
      </c>
      <c r="T20" s="158">
        <f>INDEX('Budget by Source'!$A$6:$I$335,MATCH('Payment by Source'!$A20,'Budget by Source'!$A$6:$A$335,0),MATCH(T$3,'Budget by Source'!$A$5:$I$5,0))-(ROUND(INDEX('Budget by Source'!$A$6:$I$335,MATCH('Payment by Source'!$A20,'Budget by Source'!$A$6:$A$335,0),MATCH(T$3,'Budget by Source'!$A$5:$I$5,0))/10,0)*10)</f>
        <v>-5</v>
      </c>
      <c r="U20" s="159">
        <f>INDEX('Budget by Source'!$A$6:$I$335,MATCH('Payment by Source'!$A20,'Budget by Source'!$A$6:$A$335,0),MATCH(U$3,'Budget by Source'!$A$5:$I$5,0))</f>
        <v>1082041</v>
      </c>
      <c r="V20" s="156">
        <f t="shared" si="1"/>
        <v>108204</v>
      </c>
      <c r="W20" s="156">
        <f t="shared" si="2"/>
        <v>1082040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108584</v>
      </c>
      <c r="D21" s="22">
        <f>IF(Notes!$B$2="June",ROUND('Budget by Source'!D21/10,0)+Q21,ROUND('Budget by Source'!D21/10,0))</f>
        <v>610546</v>
      </c>
      <c r="E21" s="22">
        <f>IF(Notes!$B$2="June",ROUND('Budget by Source'!E21/10,0)+R21,ROUND('Budget by Source'!E21/10,0))</f>
        <v>70520</v>
      </c>
      <c r="F21" s="22">
        <f>IF(Notes!$B$2="June",ROUND('Budget by Source'!F21/10,0)+S21,ROUND('Budget by Source'!F21/10,0))</f>
        <v>67249</v>
      </c>
      <c r="G21" s="22">
        <f>IF(Notes!$B$2="June",ROUND('Budget by Source'!G21/10,0)+T21,ROUND('Budget by Source'!G21/10,0))</f>
        <v>377066</v>
      </c>
      <c r="H21" s="22">
        <f t="shared" si="0"/>
        <v>5420153</v>
      </c>
      <c r="I21" s="22">
        <f>INDEX(Data[],MATCH($A21,Data[Dist],0),MATCH(I$5,Data[#Headers],0))</f>
        <v>6654118</v>
      </c>
      <c r="K21" s="70">
        <f>INDEX('Payment Total'!$A$7:$H$336,MATCH('Payment by Source'!$A21,'Payment Total'!$A$7:$A$336,0),6)-I21</f>
        <v>0</v>
      </c>
      <c r="P21" s="158">
        <f>INDEX('Budget by Source'!$A$6:$I$335,MATCH('Payment by Source'!$A21,'Budget by Source'!$A$6:$A$335,0),MATCH(P$3,'Budget by Source'!$A$5:$I$5,0))-(ROUND(INDEX('Budget by Source'!$A$6:$I$335,MATCH('Payment by Source'!$A21,'Budget by Source'!$A$6:$A$335,0),MATCH(P$3,'Budget by Source'!$A$5:$I$5,0))/10,0)*10)</f>
        <v>-2</v>
      </c>
      <c r="Q21" s="158">
        <f>INDEX('Budget by Source'!$A$6:$I$335,MATCH('Payment by Source'!$A21,'Budget by Source'!$A$6:$A$335,0),MATCH(Q$3,'Budget by Source'!$A$5:$I$5,0))-(ROUND(INDEX('Budget by Source'!$A$6:$I$335,MATCH('Payment by Source'!$A21,'Budget by Source'!$A$6:$A$335,0),MATCH(Q$3,'Budget by Source'!$A$5:$I$5,0))/10,0)*10)</f>
        <v>1</v>
      </c>
      <c r="R21" s="158">
        <f>INDEX('Budget by Source'!$A$6:$I$335,MATCH('Payment by Source'!$A21,'Budget by Source'!$A$6:$A$335,0),MATCH(R$3,'Budget by Source'!$A$5:$I$5,0))-(ROUND(INDEX('Budget by Source'!$A$6:$I$335,MATCH('Payment by Source'!$A21,'Budget by Source'!$A$6:$A$335,0),MATCH(R$3,'Budget by Source'!$A$5:$I$5,0))/10,0)*10)</f>
        <v>4</v>
      </c>
      <c r="S21" s="158">
        <f>INDEX('Budget by Source'!$A$6:$I$335,MATCH('Payment by Source'!$A21,'Budget by Source'!$A$6:$A$335,0),MATCH(S$3,'Budget by Source'!$A$5:$I$5,0))-(ROUND(INDEX('Budget by Source'!$A$6:$I$335,MATCH('Payment by Source'!$A21,'Budget by Source'!$A$6:$A$335,0),MATCH(S$3,'Budget by Source'!$A$5:$I$5,0))/10,0)*10)</f>
        <v>1</v>
      </c>
      <c r="T21" s="158">
        <f>INDEX('Budget by Source'!$A$6:$I$335,MATCH('Payment by Source'!$A21,'Budget by Source'!$A$6:$A$335,0),MATCH(T$3,'Budget by Source'!$A$5:$I$5,0))-(ROUND(INDEX('Budget by Source'!$A$6:$I$335,MATCH('Payment by Source'!$A21,'Budget by Source'!$A$6:$A$335,0),MATCH(T$3,'Budget by Source'!$A$5:$I$5,0))/10,0)*10)</f>
        <v>1</v>
      </c>
      <c r="U21" s="159">
        <f>INDEX('Budget by Source'!$A$6:$I$335,MATCH('Payment by Source'!$A21,'Budget by Source'!$A$6:$A$335,0),MATCH(U$3,'Budget by Source'!$A$5:$I$5,0))</f>
        <v>54393909</v>
      </c>
      <c r="V21" s="156">
        <f t="shared" si="1"/>
        <v>5439391</v>
      </c>
      <c r="W21" s="156">
        <f t="shared" si="2"/>
        <v>54393910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15749</v>
      </c>
      <c r="D22" s="22">
        <f>IF(Notes!$B$2="June",ROUND('Budget by Source'!D22/10,0)+Q22,ROUND('Budget by Source'!D22/10,0))</f>
        <v>50898</v>
      </c>
      <c r="E22" s="22">
        <f>IF(Notes!$B$2="June",ROUND('Budget by Source'!E22/10,0)+R22,ROUND('Budget by Source'!E22/10,0))</f>
        <v>6676</v>
      </c>
      <c r="F22" s="22">
        <f>IF(Notes!$B$2="June",ROUND('Budget by Source'!F22/10,0)+S22,ROUND('Budget by Source'!F22/10,0))</f>
        <v>5678</v>
      </c>
      <c r="G22" s="22">
        <f>IF(Notes!$B$2="June",ROUND('Budget by Source'!G22/10,0)+T22,ROUND('Budget by Source'!G22/10,0))</f>
        <v>27391</v>
      </c>
      <c r="H22" s="22">
        <f t="shared" si="0"/>
        <v>390947</v>
      </c>
      <c r="I22" s="22">
        <f>INDEX(Data[],MATCH($A22,Data[Dist],0),MATCH(I$5,Data[#Headers],0))</f>
        <v>497339</v>
      </c>
      <c r="K22" s="70">
        <f>INDEX('Payment Total'!$A$7:$H$336,MATCH('Payment by Source'!$A22,'Payment Total'!$A$7:$A$336,0),6)-I22</f>
        <v>0</v>
      </c>
      <c r="P22" s="158">
        <f>INDEX('Budget by Source'!$A$6:$I$335,MATCH('Payment by Source'!$A22,'Budget by Source'!$A$6:$A$335,0),MATCH(P$3,'Budget by Source'!$A$5:$I$5,0))-(ROUND(INDEX('Budget by Source'!$A$6:$I$335,MATCH('Payment by Source'!$A22,'Budget by Source'!$A$6:$A$335,0),MATCH(P$3,'Budget by Source'!$A$5:$I$5,0))/10,0)*10)</f>
        <v>-3</v>
      </c>
      <c r="Q22" s="158">
        <f>INDEX('Budget by Source'!$A$6:$I$335,MATCH('Payment by Source'!$A22,'Budget by Source'!$A$6:$A$335,0),MATCH(Q$3,'Budget by Source'!$A$5:$I$5,0))-(ROUND(INDEX('Budget by Source'!$A$6:$I$335,MATCH('Payment by Source'!$A22,'Budget by Source'!$A$6:$A$335,0),MATCH(Q$3,'Budget by Source'!$A$5:$I$5,0))/10,0)*10)</f>
        <v>-2</v>
      </c>
      <c r="R22" s="158">
        <f>INDEX('Budget by Source'!$A$6:$I$335,MATCH('Payment by Source'!$A22,'Budget by Source'!$A$6:$A$335,0),MATCH(R$3,'Budget by Source'!$A$5:$I$5,0))-(ROUND(INDEX('Budget by Source'!$A$6:$I$335,MATCH('Payment by Source'!$A22,'Budget by Source'!$A$6:$A$335,0),MATCH(R$3,'Budget by Source'!$A$5:$I$5,0))/10,0)*10)</f>
        <v>2</v>
      </c>
      <c r="S22" s="158">
        <f>INDEX('Budget by Source'!$A$6:$I$335,MATCH('Payment by Source'!$A22,'Budget by Source'!$A$6:$A$335,0),MATCH(S$3,'Budget by Source'!$A$5:$I$5,0))-(ROUND(INDEX('Budget by Source'!$A$6:$I$335,MATCH('Payment by Source'!$A22,'Budget by Source'!$A$6:$A$335,0),MATCH(S$3,'Budget by Source'!$A$5:$I$5,0))/10,0)*10)</f>
        <v>2</v>
      </c>
      <c r="T22" s="158">
        <f>INDEX('Budget by Source'!$A$6:$I$335,MATCH('Payment by Source'!$A22,'Budget by Source'!$A$6:$A$335,0),MATCH(T$3,'Budget by Source'!$A$5:$I$5,0))-(ROUND(INDEX('Budget by Source'!$A$6:$I$335,MATCH('Payment by Source'!$A22,'Budget by Source'!$A$6:$A$335,0),MATCH(T$3,'Budget by Source'!$A$5:$I$5,0))/10,0)*10)</f>
        <v>4</v>
      </c>
      <c r="U22" s="159">
        <f>INDEX('Budget by Source'!$A$6:$I$335,MATCH('Payment by Source'!$A22,'Budget by Source'!$A$6:$A$335,0),MATCH(U$3,'Budget by Source'!$A$5:$I$5,0))</f>
        <v>3923238</v>
      </c>
      <c r="V22" s="156">
        <f t="shared" si="1"/>
        <v>392324</v>
      </c>
      <c r="W22" s="156">
        <f t="shared" si="2"/>
        <v>3923240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4692</v>
      </c>
      <c r="D23" s="22">
        <f>IF(Notes!$B$2="June",ROUND('Budget by Source'!D23/10,0)+Q23,ROUND('Budget by Source'!D23/10,0))</f>
        <v>28291</v>
      </c>
      <c r="E23" s="22">
        <f>IF(Notes!$B$2="June",ROUND('Budget by Source'!E23/10,0)+R23,ROUND('Budget by Source'!E23/10,0))</f>
        <v>3433</v>
      </c>
      <c r="F23" s="22">
        <f>IF(Notes!$B$2="June",ROUND('Budget by Source'!F23/10,0)+S23,ROUND('Budget by Source'!F23/10,0))</f>
        <v>3184</v>
      </c>
      <c r="G23" s="22">
        <f>IF(Notes!$B$2="June",ROUND('Budget by Source'!G23/10,0)+T23,ROUND('Budget by Source'!G23/10,0))</f>
        <v>13612</v>
      </c>
      <c r="H23" s="22">
        <f t="shared" si="0"/>
        <v>93283</v>
      </c>
      <c r="I23" s="22">
        <f>INDEX(Data[],MATCH($A23,Data[Dist],0),MATCH(I$5,Data[#Headers],0))</f>
        <v>146495</v>
      </c>
      <c r="K23" s="70">
        <f>INDEX('Payment Total'!$A$7:$H$336,MATCH('Payment by Source'!$A23,'Payment Total'!$A$7:$A$336,0),6)-I23</f>
        <v>0</v>
      </c>
      <c r="P23" s="158">
        <f>INDEX('Budget by Source'!$A$6:$I$335,MATCH('Payment by Source'!$A23,'Budget by Source'!$A$6:$A$335,0),MATCH(P$3,'Budget by Source'!$A$5:$I$5,0))-(ROUND(INDEX('Budget by Source'!$A$6:$I$335,MATCH('Payment by Source'!$A23,'Budget by Source'!$A$6:$A$335,0),MATCH(P$3,'Budget by Source'!$A$5:$I$5,0))/10,0)*10)</f>
        <v>0</v>
      </c>
      <c r="Q23" s="158">
        <f>INDEX('Budget by Source'!$A$6:$I$335,MATCH('Payment by Source'!$A23,'Budget by Source'!$A$6:$A$335,0),MATCH(Q$3,'Budget by Source'!$A$5:$I$5,0))-(ROUND(INDEX('Budget by Source'!$A$6:$I$335,MATCH('Payment by Source'!$A23,'Budget by Source'!$A$6:$A$335,0),MATCH(Q$3,'Budget by Source'!$A$5:$I$5,0))/10,0)*10)</f>
        <v>-4</v>
      </c>
      <c r="R23" s="158">
        <f>INDEX('Budget by Source'!$A$6:$I$335,MATCH('Payment by Source'!$A23,'Budget by Source'!$A$6:$A$335,0),MATCH(R$3,'Budget by Source'!$A$5:$I$5,0))-(ROUND(INDEX('Budget by Source'!$A$6:$I$335,MATCH('Payment by Source'!$A23,'Budget by Source'!$A$6:$A$335,0),MATCH(R$3,'Budget by Source'!$A$5:$I$5,0))/10,0)*10)</f>
        <v>4</v>
      </c>
      <c r="S23" s="158">
        <f>INDEX('Budget by Source'!$A$6:$I$335,MATCH('Payment by Source'!$A23,'Budget by Source'!$A$6:$A$335,0),MATCH(S$3,'Budget by Source'!$A$5:$I$5,0))-(ROUND(INDEX('Budget by Source'!$A$6:$I$335,MATCH('Payment by Source'!$A23,'Budget by Source'!$A$6:$A$335,0),MATCH(S$3,'Budget by Source'!$A$5:$I$5,0))/10,0)*10)</f>
        <v>1</v>
      </c>
      <c r="T23" s="158">
        <f>INDEX('Budget by Source'!$A$6:$I$335,MATCH('Payment by Source'!$A23,'Budget by Source'!$A$6:$A$335,0),MATCH(T$3,'Budget by Source'!$A$5:$I$5,0))-(ROUND(INDEX('Budget by Source'!$A$6:$I$335,MATCH('Payment by Source'!$A23,'Budget by Source'!$A$6:$A$335,0),MATCH(T$3,'Budget by Source'!$A$5:$I$5,0))/10,0)*10)</f>
        <v>-1</v>
      </c>
      <c r="U23" s="159">
        <f>INDEX('Budget by Source'!$A$6:$I$335,MATCH('Payment by Source'!$A23,'Budget by Source'!$A$6:$A$335,0),MATCH(U$3,'Budget by Source'!$A$5:$I$5,0))</f>
        <v>939706</v>
      </c>
      <c r="V23" s="156">
        <f t="shared" si="1"/>
        <v>93971</v>
      </c>
      <c r="W23" s="156">
        <f t="shared" si="2"/>
        <v>939710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4019</v>
      </c>
      <c r="D24" s="22">
        <f>IF(Notes!$B$2="June",ROUND('Budget by Source'!D24/10,0)+Q24,ROUND('Budget by Source'!D24/10,0))</f>
        <v>17240</v>
      </c>
      <c r="E24" s="22">
        <f>IF(Notes!$B$2="June",ROUND('Budget by Source'!E24/10,0)+R24,ROUND('Budget by Source'!E24/10,0))</f>
        <v>1726</v>
      </c>
      <c r="F24" s="22">
        <f>IF(Notes!$B$2="June",ROUND('Budget by Source'!F24/10,0)+S24,ROUND('Budget by Source'!F24/10,0))</f>
        <v>1687</v>
      </c>
      <c r="G24" s="22">
        <f>IF(Notes!$B$2="June",ROUND('Budget by Source'!G24/10,0)+T24,ROUND('Budget by Source'!G24/10,0))</f>
        <v>9241</v>
      </c>
      <c r="H24" s="22">
        <f t="shared" si="0"/>
        <v>67274</v>
      </c>
      <c r="I24" s="22">
        <f>INDEX(Data[],MATCH($A24,Data[Dist],0),MATCH(I$5,Data[#Headers],0))</f>
        <v>101187</v>
      </c>
      <c r="K24" s="70">
        <f>INDEX('Payment Total'!$A$7:$H$336,MATCH('Payment by Source'!$A24,'Payment Total'!$A$7:$A$336,0),6)-I24</f>
        <v>0</v>
      </c>
      <c r="P24" s="158">
        <f>INDEX('Budget by Source'!$A$6:$I$335,MATCH('Payment by Source'!$A24,'Budget by Source'!$A$6:$A$335,0),MATCH(P$3,'Budget by Source'!$A$5:$I$5,0))-(ROUND(INDEX('Budget by Source'!$A$6:$I$335,MATCH('Payment by Source'!$A24,'Budget by Source'!$A$6:$A$335,0),MATCH(P$3,'Budget by Source'!$A$5:$I$5,0))/10,0)*10)</f>
        <v>-3</v>
      </c>
      <c r="Q24" s="158">
        <f>INDEX('Budget by Source'!$A$6:$I$335,MATCH('Payment by Source'!$A24,'Budget by Source'!$A$6:$A$335,0),MATCH(Q$3,'Budget by Source'!$A$5:$I$5,0))-(ROUND(INDEX('Budget by Source'!$A$6:$I$335,MATCH('Payment by Source'!$A24,'Budget by Source'!$A$6:$A$335,0),MATCH(Q$3,'Budget by Source'!$A$5:$I$5,0))/10,0)*10)</f>
        <v>-2</v>
      </c>
      <c r="R24" s="158">
        <f>INDEX('Budget by Source'!$A$6:$I$335,MATCH('Payment by Source'!$A24,'Budget by Source'!$A$6:$A$335,0),MATCH(R$3,'Budget by Source'!$A$5:$I$5,0))-(ROUND(INDEX('Budget by Source'!$A$6:$I$335,MATCH('Payment by Source'!$A24,'Budget by Source'!$A$6:$A$335,0),MATCH(R$3,'Budget by Source'!$A$5:$I$5,0))/10,0)*10)</f>
        <v>-1</v>
      </c>
      <c r="S24" s="158">
        <f>INDEX('Budget by Source'!$A$6:$I$335,MATCH('Payment by Source'!$A24,'Budget by Source'!$A$6:$A$335,0),MATCH(S$3,'Budget by Source'!$A$5:$I$5,0))-(ROUND(INDEX('Budget by Source'!$A$6:$I$335,MATCH('Payment by Source'!$A24,'Budget by Source'!$A$6:$A$335,0),MATCH(S$3,'Budget by Source'!$A$5:$I$5,0))/10,0)*10)</f>
        <v>-2</v>
      </c>
      <c r="T24" s="158">
        <f>INDEX('Budget by Source'!$A$6:$I$335,MATCH('Payment by Source'!$A24,'Budget by Source'!$A$6:$A$335,0),MATCH(T$3,'Budget by Source'!$A$5:$I$5,0))-(ROUND(INDEX('Budget by Source'!$A$6:$I$335,MATCH('Payment by Source'!$A24,'Budget by Source'!$A$6:$A$335,0),MATCH(T$3,'Budget by Source'!$A$5:$I$5,0))/10,0)*10)</f>
        <v>-5</v>
      </c>
      <c r="U24" s="159">
        <f>INDEX('Budget by Source'!$A$6:$I$335,MATCH('Payment by Source'!$A24,'Budget by Source'!$A$6:$A$335,0),MATCH(U$3,'Budget by Source'!$A$5:$I$5,0))</f>
        <v>677080</v>
      </c>
      <c r="V24" s="156">
        <f t="shared" si="1"/>
        <v>67708</v>
      </c>
      <c r="W24" s="156">
        <f t="shared" si="2"/>
        <v>677080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32506</v>
      </c>
      <c r="D25" s="22">
        <f>IF(Notes!$B$2="June",ROUND('Budget by Source'!D25/10,0)+Q25,ROUND('Budget by Source'!D25/10,0))</f>
        <v>81702</v>
      </c>
      <c r="E25" s="22">
        <f>IF(Notes!$B$2="June",ROUND('Budget by Source'!E25/10,0)+R25,ROUND('Budget by Source'!E25/10,0))</f>
        <v>10732</v>
      </c>
      <c r="F25" s="22">
        <f>IF(Notes!$B$2="June",ROUND('Budget by Source'!F25/10,0)+S25,ROUND('Budget by Source'!F25/10,0))</f>
        <v>9578</v>
      </c>
      <c r="G25" s="22">
        <f>IF(Notes!$B$2="June",ROUND('Budget by Source'!G25/10,0)+T25,ROUND('Budget by Source'!G25/10,0))</f>
        <v>44765</v>
      </c>
      <c r="H25" s="22">
        <f t="shared" si="0"/>
        <v>670182</v>
      </c>
      <c r="I25" s="22">
        <f>INDEX(Data[],MATCH($A25,Data[Dist],0),MATCH(I$5,Data[#Headers],0))</f>
        <v>849465</v>
      </c>
      <c r="K25" s="70">
        <f>INDEX('Payment Total'!$A$7:$H$336,MATCH('Payment by Source'!$A25,'Payment Total'!$A$7:$A$336,0),6)-I25</f>
        <v>0</v>
      </c>
      <c r="P25" s="158">
        <f>INDEX('Budget by Source'!$A$6:$I$335,MATCH('Payment by Source'!$A25,'Budget by Source'!$A$6:$A$335,0),MATCH(P$3,'Budget by Source'!$A$5:$I$5,0))-(ROUND(INDEX('Budget by Source'!$A$6:$I$335,MATCH('Payment by Source'!$A25,'Budget by Source'!$A$6:$A$335,0),MATCH(P$3,'Budget by Source'!$A$5:$I$5,0))/10,0)*10)</f>
        <v>-3</v>
      </c>
      <c r="Q25" s="158">
        <f>INDEX('Budget by Source'!$A$6:$I$335,MATCH('Payment by Source'!$A25,'Budget by Source'!$A$6:$A$335,0),MATCH(Q$3,'Budget by Source'!$A$5:$I$5,0))-(ROUND(INDEX('Budget by Source'!$A$6:$I$335,MATCH('Payment by Source'!$A25,'Budget by Source'!$A$6:$A$335,0),MATCH(Q$3,'Budget by Source'!$A$5:$I$5,0))/10,0)*10)</f>
        <v>-4</v>
      </c>
      <c r="R25" s="158">
        <f>INDEX('Budget by Source'!$A$6:$I$335,MATCH('Payment by Source'!$A25,'Budget by Source'!$A$6:$A$335,0),MATCH(R$3,'Budget by Source'!$A$5:$I$5,0))-(ROUND(INDEX('Budget by Source'!$A$6:$I$335,MATCH('Payment by Source'!$A25,'Budget by Source'!$A$6:$A$335,0),MATCH(R$3,'Budget by Source'!$A$5:$I$5,0))/10,0)*10)</f>
        <v>-4</v>
      </c>
      <c r="S25" s="158">
        <f>INDEX('Budget by Source'!$A$6:$I$335,MATCH('Payment by Source'!$A25,'Budget by Source'!$A$6:$A$335,0),MATCH(S$3,'Budget by Source'!$A$5:$I$5,0))-(ROUND(INDEX('Budget by Source'!$A$6:$I$335,MATCH('Payment by Source'!$A25,'Budget by Source'!$A$6:$A$335,0),MATCH(S$3,'Budget by Source'!$A$5:$I$5,0))/10,0)*10)</f>
        <v>-3</v>
      </c>
      <c r="T25" s="158">
        <f>INDEX('Budget by Source'!$A$6:$I$335,MATCH('Payment by Source'!$A25,'Budget by Source'!$A$6:$A$335,0),MATCH(T$3,'Budget by Source'!$A$5:$I$5,0))-(ROUND(INDEX('Budget by Source'!$A$6:$I$335,MATCH('Payment by Source'!$A25,'Budget by Source'!$A$6:$A$335,0),MATCH(T$3,'Budget by Source'!$A$5:$I$5,0))/10,0)*10)</f>
        <v>2</v>
      </c>
      <c r="U25" s="159">
        <f>INDEX('Budget by Source'!$A$6:$I$335,MATCH('Payment by Source'!$A25,'Budget by Source'!$A$6:$A$335,0),MATCH(U$3,'Budget by Source'!$A$5:$I$5,0))</f>
        <v>6724225</v>
      </c>
      <c r="V25" s="156">
        <f t="shared" si="1"/>
        <v>672423</v>
      </c>
      <c r="W25" s="156">
        <f t="shared" si="2"/>
        <v>6724230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12739</v>
      </c>
      <c r="D26" s="22">
        <f>IF(Notes!$B$2="June",ROUND('Budget by Source'!D26/10,0)+Q26,ROUND('Budget by Source'!D26/10,0))</f>
        <v>30177</v>
      </c>
      <c r="E26" s="22">
        <f>IF(Notes!$B$2="June",ROUND('Budget by Source'!E26/10,0)+R26,ROUND('Budget by Source'!E26/10,0))</f>
        <v>3077</v>
      </c>
      <c r="F26" s="22">
        <f>IF(Notes!$B$2="June",ROUND('Budget by Source'!F26/10,0)+S26,ROUND('Budget by Source'!F26/10,0))</f>
        <v>3438</v>
      </c>
      <c r="G26" s="22">
        <f>IF(Notes!$B$2="June",ROUND('Budget by Source'!G26/10,0)+T26,ROUND('Budget by Source'!G26/10,0))</f>
        <v>16231</v>
      </c>
      <c r="H26" s="22">
        <f t="shared" si="0"/>
        <v>197041</v>
      </c>
      <c r="I26" s="22">
        <f>INDEX(Data[],MATCH($A26,Data[Dist],0),MATCH(I$5,Data[#Headers],0))</f>
        <v>262703</v>
      </c>
      <c r="K26" s="70">
        <f>INDEX('Payment Total'!$A$7:$H$336,MATCH('Payment by Source'!$A26,'Payment Total'!$A$7:$A$336,0),6)-I26</f>
        <v>0</v>
      </c>
      <c r="P26" s="158">
        <f>INDEX('Budget by Source'!$A$6:$I$335,MATCH('Payment by Source'!$A26,'Budget by Source'!$A$6:$A$335,0),MATCH(P$3,'Budget by Source'!$A$5:$I$5,0))-(ROUND(INDEX('Budget by Source'!$A$6:$I$335,MATCH('Payment by Source'!$A26,'Budget by Source'!$A$6:$A$335,0),MATCH(P$3,'Budget by Source'!$A$5:$I$5,0))/10,0)*10)</f>
        <v>4</v>
      </c>
      <c r="Q26" s="158">
        <f>INDEX('Budget by Source'!$A$6:$I$335,MATCH('Payment by Source'!$A26,'Budget by Source'!$A$6:$A$335,0),MATCH(Q$3,'Budget by Source'!$A$5:$I$5,0))-(ROUND(INDEX('Budget by Source'!$A$6:$I$335,MATCH('Payment by Source'!$A26,'Budget by Source'!$A$6:$A$335,0),MATCH(Q$3,'Budget by Source'!$A$5:$I$5,0))/10,0)*10)</f>
        <v>2</v>
      </c>
      <c r="R26" s="158">
        <f>INDEX('Budget by Source'!$A$6:$I$335,MATCH('Payment by Source'!$A26,'Budget by Source'!$A$6:$A$335,0),MATCH(R$3,'Budget by Source'!$A$5:$I$5,0))-(ROUND(INDEX('Budget by Source'!$A$6:$I$335,MATCH('Payment by Source'!$A26,'Budget by Source'!$A$6:$A$335,0),MATCH(R$3,'Budget by Source'!$A$5:$I$5,0))/10,0)*10)</f>
        <v>0</v>
      </c>
      <c r="S26" s="158">
        <f>INDEX('Budget by Source'!$A$6:$I$335,MATCH('Payment by Source'!$A26,'Budget by Source'!$A$6:$A$335,0),MATCH(S$3,'Budget by Source'!$A$5:$I$5,0))-(ROUND(INDEX('Budget by Source'!$A$6:$I$335,MATCH('Payment by Source'!$A26,'Budget by Source'!$A$6:$A$335,0),MATCH(S$3,'Budget by Source'!$A$5:$I$5,0))/10,0)*10)</f>
        <v>-4</v>
      </c>
      <c r="T26" s="158">
        <f>INDEX('Budget by Source'!$A$6:$I$335,MATCH('Payment by Source'!$A26,'Budget by Source'!$A$6:$A$335,0),MATCH(T$3,'Budget by Source'!$A$5:$I$5,0))-(ROUND(INDEX('Budget by Source'!$A$6:$I$335,MATCH('Payment by Source'!$A26,'Budget by Source'!$A$6:$A$335,0),MATCH(T$3,'Budget by Source'!$A$5:$I$5,0))/10,0)*10)</f>
        <v>-4</v>
      </c>
      <c r="U26" s="159">
        <f>INDEX('Budget by Source'!$A$6:$I$335,MATCH('Payment by Source'!$A26,'Budget by Source'!$A$6:$A$335,0),MATCH(U$3,'Budget by Source'!$A$5:$I$5,0))</f>
        <v>2032125</v>
      </c>
      <c r="V26" s="156">
        <f t="shared" si="1"/>
        <v>203213</v>
      </c>
      <c r="W26" s="156">
        <f t="shared" si="2"/>
        <v>2032130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10056</v>
      </c>
      <c r="D27" s="22">
        <f>IF(Notes!$B$2="June",ROUND('Budget by Source'!D27/10,0)+Q27,ROUND('Budget by Source'!D27/10,0))</f>
        <v>43079</v>
      </c>
      <c r="E27" s="22">
        <f>IF(Notes!$B$2="June",ROUND('Budget by Source'!E27/10,0)+R27,ROUND('Budget by Source'!E27/10,0))</f>
        <v>4812</v>
      </c>
      <c r="F27" s="22">
        <f>IF(Notes!$B$2="June",ROUND('Budget by Source'!F27/10,0)+S27,ROUND('Budget by Source'!F27/10,0))</f>
        <v>4321</v>
      </c>
      <c r="G27" s="22">
        <f>IF(Notes!$B$2="June",ROUND('Budget by Source'!G27/10,0)+T27,ROUND('Budget by Source'!G27/10,0))</f>
        <v>25849</v>
      </c>
      <c r="H27" s="22">
        <f t="shared" si="0"/>
        <v>314564</v>
      </c>
      <c r="I27" s="22">
        <f>INDEX(Data[],MATCH($A27,Data[Dist],0),MATCH(I$5,Data[#Headers],0))</f>
        <v>402681</v>
      </c>
      <c r="K27" s="70">
        <f>INDEX('Payment Total'!$A$7:$H$336,MATCH('Payment by Source'!$A27,'Payment Total'!$A$7:$A$336,0),6)-I27</f>
        <v>0</v>
      </c>
      <c r="P27" s="158">
        <f>INDEX('Budget by Source'!$A$6:$I$335,MATCH('Payment by Source'!$A27,'Budget by Source'!$A$6:$A$335,0),MATCH(P$3,'Budget by Source'!$A$5:$I$5,0))-(ROUND(INDEX('Budget by Source'!$A$6:$I$335,MATCH('Payment by Source'!$A27,'Budget by Source'!$A$6:$A$335,0),MATCH(P$3,'Budget by Source'!$A$5:$I$5,0))/10,0)*10)</f>
        <v>2</v>
      </c>
      <c r="Q27" s="158">
        <f>INDEX('Budget by Source'!$A$6:$I$335,MATCH('Payment by Source'!$A27,'Budget by Source'!$A$6:$A$335,0),MATCH(Q$3,'Budget by Source'!$A$5:$I$5,0))-(ROUND(INDEX('Budget by Source'!$A$6:$I$335,MATCH('Payment by Source'!$A27,'Budget by Source'!$A$6:$A$335,0),MATCH(Q$3,'Budget by Source'!$A$5:$I$5,0))/10,0)*10)</f>
        <v>-5</v>
      </c>
      <c r="R27" s="158">
        <f>INDEX('Budget by Source'!$A$6:$I$335,MATCH('Payment by Source'!$A27,'Budget by Source'!$A$6:$A$335,0),MATCH(R$3,'Budget by Source'!$A$5:$I$5,0))-(ROUND(INDEX('Budget by Source'!$A$6:$I$335,MATCH('Payment by Source'!$A27,'Budget by Source'!$A$6:$A$335,0),MATCH(R$3,'Budget by Source'!$A$5:$I$5,0))/10,0)*10)</f>
        <v>0</v>
      </c>
      <c r="S27" s="158">
        <f>INDEX('Budget by Source'!$A$6:$I$335,MATCH('Payment by Source'!$A27,'Budget by Source'!$A$6:$A$335,0),MATCH(S$3,'Budget by Source'!$A$5:$I$5,0))-(ROUND(INDEX('Budget by Source'!$A$6:$I$335,MATCH('Payment by Source'!$A27,'Budget by Source'!$A$6:$A$335,0),MATCH(S$3,'Budget by Source'!$A$5:$I$5,0))/10,0)*10)</f>
        <v>-1</v>
      </c>
      <c r="T27" s="158">
        <f>INDEX('Budget by Source'!$A$6:$I$335,MATCH('Payment by Source'!$A27,'Budget by Source'!$A$6:$A$335,0),MATCH(T$3,'Budget by Source'!$A$5:$I$5,0))-(ROUND(INDEX('Budget by Source'!$A$6:$I$335,MATCH('Payment by Source'!$A27,'Budget by Source'!$A$6:$A$335,0),MATCH(T$3,'Budget by Source'!$A$5:$I$5,0))/10,0)*10)</f>
        <v>0</v>
      </c>
      <c r="U27" s="159">
        <f>INDEX('Budget by Source'!$A$6:$I$335,MATCH('Payment by Source'!$A27,'Budget by Source'!$A$6:$A$335,0),MATCH(U$3,'Budget by Source'!$A$5:$I$5,0))</f>
        <v>3158783</v>
      </c>
      <c r="V27" s="156">
        <f t="shared" si="1"/>
        <v>315878</v>
      </c>
      <c r="W27" s="156">
        <f t="shared" si="2"/>
        <v>3158780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47591</v>
      </c>
      <c r="D28" s="22">
        <f>IF(Notes!$B$2="June",ROUND('Budget by Source'!D28/10,0)+Q28,ROUND('Budget by Source'!D28/10,0))</f>
        <v>86719</v>
      </c>
      <c r="E28" s="22">
        <f>IF(Notes!$B$2="June",ROUND('Budget by Source'!E28/10,0)+R28,ROUND('Budget by Source'!E28/10,0))</f>
        <v>10915</v>
      </c>
      <c r="F28" s="22">
        <f>IF(Notes!$B$2="June",ROUND('Budget by Source'!F28/10,0)+S28,ROUND('Budget by Source'!F28/10,0))</f>
        <v>9248</v>
      </c>
      <c r="G28" s="22">
        <f>IF(Notes!$B$2="June",ROUND('Budget by Source'!G28/10,0)+T28,ROUND('Budget by Source'!G28/10,0))</f>
        <v>52866</v>
      </c>
      <c r="H28" s="22">
        <f t="shared" si="0"/>
        <v>916353</v>
      </c>
      <c r="I28" s="22">
        <f>INDEX(Data[],MATCH($A28,Data[Dist],0),MATCH(I$5,Data[#Headers],0))</f>
        <v>1123692</v>
      </c>
      <c r="K28" s="70">
        <f>INDEX('Payment Total'!$A$7:$H$336,MATCH('Payment by Source'!$A28,'Payment Total'!$A$7:$A$336,0),6)-I28</f>
        <v>0</v>
      </c>
      <c r="P28" s="158">
        <f>INDEX('Budget by Source'!$A$6:$I$335,MATCH('Payment by Source'!$A28,'Budget by Source'!$A$6:$A$335,0),MATCH(P$3,'Budget by Source'!$A$5:$I$5,0))-(ROUND(INDEX('Budget by Source'!$A$6:$I$335,MATCH('Payment by Source'!$A28,'Budget by Source'!$A$6:$A$335,0),MATCH(P$3,'Budget by Source'!$A$5:$I$5,0))/10,0)*10)</f>
        <v>1</v>
      </c>
      <c r="Q28" s="158">
        <f>INDEX('Budget by Source'!$A$6:$I$335,MATCH('Payment by Source'!$A28,'Budget by Source'!$A$6:$A$335,0),MATCH(Q$3,'Budget by Source'!$A$5:$I$5,0))-(ROUND(INDEX('Budget by Source'!$A$6:$I$335,MATCH('Payment by Source'!$A28,'Budget by Source'!$A$6:$A$335,0),MATCH(Q$3,'Budget by Source'!$A$5:$I$5,0))/10,0)*10)</f>
        <v>3</v>
      </c>
      <c r="R28" s="158">
        <f>INDEX('Budget by Source'!$A$6:$I$335,MATCH('Payment by Source'!$A28,'Budget by Source'!$A$6:$A$335,0),MATCH(R$3,'Budget by Source'!$A$5:$I$5,0))-(ROUND(INDEX('Budget by Source'!$A$6:$I$335,MATCH('Payment by Source'!$A28,'Budget by Source'!$A$6:$A$335,0),MATCH(R$3,'Budget by Source'!$A$5:$I$5,0))/10,0)*10)</f>
        <v>0</v>
      </c>
      <c r="S28" s="158">
        <f>INDEX('Budget by Source'!$A$6:$I$335,MATCH('Payment by Source'!$A28,'Budget by Source'!$A$6:$A$335,0),MATCH(S$3,'Budget by Source'!$A$5:$I$5,0))-(ROUND(INDEX('Budget by Source'!$A$6:$I$335,MATCH('Payment by Source'!$A28,'Budget by Source'!$A$6:$A$335,0),MATCH(S$3,'Budget by Source'!$A$5:$I$5,0))/10,0)*10)</f>
        <v>-1</v>
      </c>
      <c r="T28" s="158">
        <f>INDEX('Budget by Source'!$A$6:$I$335,MATCH('Payment by Source'!$A28,'Budget by Source'!$A$6:$A$335,0),MATCH(T$3,'Budget by Source'!$A$5:$I$5,0))-(ROUND(INDEX('Budget by Source'!$A$6:$I$335,MATCH('Payment by Source'!$A28,'Budget by Source'!$A$6:$A$335,0),MATCH(T$3,'Budget by Source'!$A$5:$I$5,0))/10,0)*10)</f>
        <v>-1</v>
      </c>
      <c r="U28" s="159">
        <f>INDEX('Budget by Source'!$A$6:$I$335,MATCH('Payment by Source'!$A28,'Budget by Source'!$A$6:$A$335,0),MATCH(U$3,'Budget by Source'!$A$5:$I$5,0))</f>
        <v>9190526</v>
      </c>
      <c r="V28" s="156">
        <f t="shared" si="1"/>
        <v>919053</v>
      </c>
      <c r="W28" s="156">
        <f t="shared" si="2"/>
        <v>9190530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11393</v>
      </c>
      <c r="D29" s="22">
        <f>IF(Notes!$B$2="June",ROUND('Budget by Source'!D29/10,0)+Q29,ROUND('Budget by Source'!D29/10,0))</f>
        <v>20164</v>
      </c>
      <c r="E29" s="22">
        <f>IF(Notes!$B$2="June",ROUND('Budget by Source'!E29/10,0)+R29,ROUND('Budget by Source'!E29/10,0))</f>
        <v>2158</v>
      </c>
      <c r="F29" s="22">
        <f>IF(Notes!$B$2="June",ROUND('Budget by Source'!F29/10,0)+S29,ROUND('Budget by Source'!F29/10,0))</f>
        <v>2019</v>
      </c>
      <c r="G29" s="22">
        <f>IF(Notes!$B$2="June",ROUND('Budget by Source'!G29/10,0)+T29,ROUND('Budget by Source'!G29/10,0))</f>
        <v>10630</v>
      </c>
      <c r="H29" s="22">
        <f t="shared" si="0"/>
        <v>146682</v>
      </c>
      <c r="I29" s="22">
        <f>INDEX(Data[],MATCH($A29,Data[Dist],0),MATCH(I$5,Data[#Headers],0))</f>
        <v>193046</v>
      </c>
      <c r="K29" s="70">
        <f>INDEX('Payment Total'!$A$7:$H$336,MATCH('Payment by Source'!$A29,'Payment Total'!$A$7:$A$336,0),6)-I29</f>
        <v>0</v>
      </c>
      <c r="P29" s="158">
        <f>INDEX('Budget by Source'!$A$6:$I$335,MATCH('Payment by Source'!$A29,'Budget by Source'!$A$6:$A$335,0),MATCH(P$3,'Budget by Source'!$A$5:$I$5,0))-(ROUND(INDEX('Budget by Source'!$A$6:$I$335,MATCH('Payment by Source'!$A29,'Budget by Source'!$A$6:$A$335,0),MATCH(P$3,'Budget by Source'!$A$5:$I$5,0))/10,0)*10)</f>
        <v>-2</v>
      </c>
      <c r="Q29" s="158">
        <f>INDEX('Budget by Source'!$A$6:$I$335,MATCH('Payment by Source'!$A29,'Budget by Source'!$A$6:$A$335,0),MATCH(Q$3,'Budget by Source'!$A$5:$I$5,0))-(ROUND(INDEX('Budget by Source'!$A$6:$I$335,MATCH('Payment by Source'!$A29,'Budget by Source'!$A$6:$A$335,0),MATCH(Q$3,'Budget by Source'!$A$5:$I$5,0))/10,0)*10)</f>
        <v>4</v>
      </c>
      <c r="R29" s="158">
        <f>INDEX('Budget by Source'!$A$6:$I$335,MATCH('Payment by Source'!$A29,'Budget by Source'!$A$6:$A$335,0),MATCH(R$3,'Budget by Source'!$A$5:$I$5,0))-(ROUND(INDEX('Budget by Source'!$A$6:$I$335,MATCH('Payment by Source'!$A29,'Budget by Source'!$A$6:$A$335,0),MATCH(R$3,'Budget by Source'!$A$5:$I$5,0))/10,0)*10)</f>
        <v>-5</v>
      </c>
      <c r="S29" s="158">
        <f>INDEX('Budget by Source'!$A$6:$I$335,MATCH('Payment by Source'!$A29,'Budget by Source'!$A$6:$A$335,0),MATCH(S$3,'Budget by Source'!$A$5:$I$5,0))-(ROUND(INDEX('Budget by Source'!$A$6:$I$335,MATCH('Payment by Source'!$A29,'Budget by Source'!$A$6:$A$335,0),MATCH(S$3,'Budget by Source'!$A$5:$I$5,0))/10,0)*10)</f>
        <v>2</v>
      </c>
      <c r="T29" s="158">
        <f>INDEX('Budget by Source'!$A$6:$I$335,MATCH('Payment by Source'!$A29,'Budget by Source'!$A$6:$A$335,0),MATCH(T$3,'Budget by Source'!$A$5:$I$5,0))-(ROUND(INDEX('Budget by Source'!$A$6:$I$335,MATCH('Payment by Source'!$A29,'Budget by Source'!$A$6:$A$335,0),MATCH(T$3,'Budget by Source'!$A$5:$I$5,0))/10,0)*10)</f>
        <v>1</v>
      </c>
      <c r="U29" s="159">
        <f>INDEX('Budget by Source'!$A$6:$I$335,MATCH('Payment by Source'!$A29,'Budget by Source'!$A$6:$A$335,0),MATCH(U$3,'Budget by Source'!$A$5:$I$5,0))</f>
        <v>1511115</v>
      </c>
      <c r="V29" s="156">
        <f t="shared" si="1"/>
        <v>151112</v>
      </c>
      <c r="W29" s="156">
        <f t="shared" si="2"/>
        <v>1511120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7711</v>
      </c>
      <c r="D30" s="22">
        <f>IF(Notes!$B$2="June",ROUND('Budget by Source'!D30/10,0)+Q30,ROUND('Budget by Source'!D30/10,0))</f>
        <v>32391</v>
      </c>
      <c r="E30" s="22">
        <f>IF(Notes!$B$2="June",ROUND('Budget by Source'!E30/10,0)+R30,ROUND('Budget by Source'!E30/10,0))</f>
        <v>3426</v>
      </c>
      <c r="F30" s="22">
        <f>IF(Notes!$B$2="June",ROUND('Budget by Source'!F30/10,0)+S30,ROUND('Budget by Source'!F30/10,0))</f>
        <v>3596</v>
      </c>
      <c r="G30" s="22">
        <f>IF(Notes!$B$2="June",ROUND('Budget by Source'!G30/10,0)+T30,ROUND('Budget by Source'!G30/10,0))</f>
        <v>17958</v>
      </c>
      <c r="H30" s="22">
        <f t="shared" si="0"/>
        <v>223951</v>
      </c>
      <c r="I30" s="22">
        <f>INDEX(Data[],MATCH($A30,Data[Dist],0),MATCH(I$5,Data[#Headers],0))</f>
        <v>289033</v>
      </c>
      <c r="K30" s="70">
        <f>INDEX('Payment Total'!$A$7:$H$336,MATCH('Payment by Source'!$A30,'Payment Total'!$A$7:$A$336,0),6)-I30</f>
        <v>0</v>
      </c>
      <c r="P30" s="158">
        <f>INDEX('Budget by Source'!$A$6:$I$335,MATCH('Payment by Source'!$A30,'Budget by Source'!$A$6:$A$335,0),MATCH(P$3,'Budget by Source'!$A$5:$I$5,0))-(ROUND(INDEX('Budget by Source'!$A$6:$I$335,MATCH('Payment by Source'!$A30,'Budget by Source'!$A$6:$A$335,0),MATCH(P$3,'Budget by Source'!$A$5:$I$5,0))/10,0)*10)</f>
        <v>3</v>
      </c>
      <c r="Q30" s="158">
        <f>INDEX('Budget by Source'!$A$6:$I$335,MATCH('Payment by Source'!$A30,'Budget by Source'!$A$6:$A$335,0),MATCH(Q$3,'Budget by Source'!$A$5:$I$5,0))-(ROUND(INDEX('Budget by Source'!$A$6:$I$335,MATCH('Payment by Source'!$A30,'Budget by Source'!$A$6:$A$335,0),MATCH(Q$3,'Budget by Source'!$A$5:$I$5,0))/10,0)*10)</f>
        <v>-3</v>
      </c>
      <c r="R30" s="158">
        <f>INDEX('Budget by Source'!$A$6:$I$335,MATCH('Payment by Source'!$A30,'Budget by Source'!$A$6:$A$335,0),MATCH(R$3,'Budget by Source'!$A$5:$I$5,0))-(ROUND(INDEX('Budget by Source'!$A$6:$I$335,MATCH('Payment by Source'!$A30,'Budget by Source'!$A$6:$A$335,0),MATCH(R$3,'Budget by Source'!$A$5:$I$5,0))/10,0)*10)</f>
        <v>4</v>
      </c>
      <c r="S30" s="158">
        <f>INDEX('Budget by Source'!$A$6:$I$335,MATCH('Payment by Source'!$A30,'Budget by Source'!$A$6:$A$335,0),MATCH(S$3,'Budget by Source'!$A$5:$I$5,0))-(ROUND(INDEX('Budget by Source'!$A$6:$I$335,MATCH('Payment by Source'!$A30,'Budget by Source'!$A$6:$A$335,0),MATCH(S$3,'Budget by Source'!$A$5:$I$5,0))/10,0)*10)</f>
        <v>1</v>
      </c>
      <c r="T30" s="158">
        <f>INDEX('Budget by Source'!$A$6:$I$335,MATCH('Payment by Source'!$A30,'Budget by Source'!$A$6:$A$335,0),MATCH(T$3,'Budget by Source'!$A$5:$I$5,0))-(ROUND(INDEX('Budget by Source'!$A$6:$I$335,MATCH('Payment by Source'!$A30,'Budget by Source'!$A$6:$A$335,0),MATCH(T$3,'Budget by Source'!$A$5:$I$5,0))/10,0)*10)</f>
        <v>4</v>
      </c>
      <c r="U30" s="159">
        <f>INDEX('Budget by Source'!$A$6:$I$335,MATCH('Payment by Source'!$A30,'Budget by Source'!$A$6:$A$335,0),MATCH(U$3,'Budget by Source'!$A$5:$I$5,0))</f>
        <v>2248444</v>
      </c>
      <c r="V30" s="156">
        <f t="shared" si="1"/>
        <v>224844</v>
      </c>
      <c r="W30" s="156">
        <f t="shared" si="2"/>
        <v>2248440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12402</v>
      </c>
      <c r="D31" s="22">
        <f>IF(Notes!$B$2="June",ROUND('Budget by Source'!D31/10,0)+Q31,ROUND('Budget by Source'!D31/10,0))</f>
        <v>27989</v>
      </c>
      <c r="E31" s="22">
        <f>IF(Notes!$B$2="June",ROUND('Budget by Source'!E31/10,0)+R31,ROUND('Budget by Source'!E31/10,0))</f>
        <v>3261</v>
      </c>
      <c r="F31" s="22">
        <f>IF(Notes!$B$2="June",ROUND('Budget by Source'!F31/10,0)+S31,ROUND('Budget by Source'!F31/10,0))</f>
        <v>2963</v>
      </c>
      <c r="G31" s="22">
        <f>IF(Notes!$B$2="June",ROUND('Budget by Source'!G31/10,0)+T31,ROUND('Budget by Source'!G31/10,0))</f>
        <v>14694</v>
      </c>
      <c r="H31" s="22">
        <f t="shared" si="0"/>
        <v>184113</v>
      </c>
      <c r="I31" s="22">
        <f>INDEX(Data[],MATCH($A31,Data[Dist],0),MATCH(I$5,Data[#Headers],0))</f>
        <v>245422</v>
      </c>
      <c r="K31" s="70">
        <f>INDEX('Payment Total'!$A$7:$H$336,MATCH('Payment by Source'!$A31,'Payment Total'!$A$7:$A$336,0),6)-I31</f>
        <v>0</v>
      </c>
      <c r="P31" s="158">
        <f>INDEX('Budget by Source'!$A$6:$I$335,MATCH('Payment by Source'!$A31,'Budget by Source'!$A$6:$A$335,0),MATCH(P$3,'Budget by Source'!$A$5:$I$5,0))-(ROUND(INDEX('Budget by Source'!$A$6:$I$335,MATCH('Payment by Source'!$A31,'Budget by Source'!$A$6:$A$335,0),MATCH(P$3,'Budget by Source'!$A$5:$I$5,0))/10,0)*10)</f>
        <v>2</v>
      </c>
      <c r="Q31" s="158">
        <f>INDEX('Budget by Source'!$A$6:$I$335,MATCH('Payment by Source'!$A31,'Budget by Source'!$A$6:$A$335,0),MATCH(Q$3,'Budget by Source'!$A$5:$I$5,0))-(ROUND(INDEX('Budget by Source'!$A$6:$I$335,MATCH('Payment by Source'!$A31,'Budget by Source'!$A$6:$A$335,0),MATCH(Q$3,'Budget by Source'!$A$5:$I$5,0))/10,0)*10)</f>
        <v>0</v>
      </c>
      <c r="R31" s="158">
        <f>INDEX('Budget by Source'!$A$6:$I$335,MATCH('Payment by Source'!$A31,'Budget by Source'!$A$6:$A$335,0),MATCH(R$3,'Budget by Source'!$A$5:$I$5,0))-(ROUND(INDEX('Budget by Source'!$A$6:$I$335,MATCH('Payment by Source'!$A31,'Budget by Source'!$A$6:$A$335,0),MATCH(R$3,'Budget by Source'!$A$5:$I$5,0))/10,0)*10)</f>
        <v>2</v>
      </c>
      <c r="S31" s="158">
        <f>INDEX('Budget by Source'!$A$6:$I$335,MATCH('Payment by Source'!$A31,'Budget by Source'!$A$6:$A$335,0),MATCH(S$3,'Budget by Source'!$A$5:$I$5,0))-(ROUND(INDEX('Budget by Source'!$A$6:$I$335,MATCH('Payment by Source'!$A31,'Budget by Source'!$A$6:$A$335,0),MATCH(S$3,'Budget by Source'!$A$5:$I$5,0))/10,0)*10)</f>
        <v>-2</v>
      </c>
      <c r="T31" s="158">
        <f>INDEX('Budget by Source'!$A$6:$I$335,MATCH('Payment by Source'!$A31,'Budget by Source'!$A$6:$A$335,0),MATCH(T$3,'Budget by Source'!$A$5:$I$5,0))-(ROUND(INDEX('Budget by Source'!$A$6:$I$335,MATCH('Payment by Source'!$A31,'Budget by Source'!$A$6:$A$335,0),MATCH(T$3,'Budget by Source'!$A$5:$I$5,0))/10,0)*10)</f>
        <v>-2</v>
      </c>
      <c r="U31" s="159">
        <f>INDEX('Budget by Source'!$A$6:$I$335,MATCH('Payment by Source'!$A31,'Budget by Source'!$A$6:$A$335,0),MATCH(U$3,'Budget by Source'!$A$5:$I$5,0))</f>
        <v>1848635</v>
      </c>
      <c r="V31" s="156">
        <f t="shared" si="1"/>
        <v>184864</v>
      </c>
      <c r="W31" s="156">
        <f t="shared" si="2"/>
        <v>1848640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7374</v>
      </c>
      <c r="D32" s="22">
        <f>IF(Notes!$B$2="June",ROUND('Budget by Source'!D32/10,0)+Q32,ROUND('Budget by Source'!D32/10,0))</f>
        <v>30421</v>
      </c>
      <c r="E32" s="22">
        <f>IF(Notes!$B$2="June",ROUND('Budget by Source'!E32/10,0)+R32,ROUND('Budget by Source'!E32/10,0))</f>
        <v>3064</v>
      </c>
      <c r="F32" s="22">
        <f>IF(Notes!$B$2="June",ROUND('Budget by Source'!F32/10,0)+S32,ROUND('Budget by Source'!F32/10,0))</f>
        <v>3017</v>
      </c>
      <c r="G32" s="22">
        <f>IF(Notes!$B$2="June",ROUND('Budget by Source'!G32/10,0)+T32,ROUND('Budget by Source'!G32/10,0))</f>
        <v>17395</v>
      </c>
      <c r="H32" s="22">
        <f t="shared" si="0"/>
        <v>260492</v>
      </c>
      <c r="I32" s="22">
        <f>INDEX(Data[],MATCH($A32,Data[Dist],0),MATCH(I$5,Data[#Headers],0))</f>
        <v>321763</v>
      </c>
      <c r="K32" s="70">
        <f>INDEX('Payment Total'!$A$7:$H$336,MATCH('Payment by Source'!$A32,'Payment Total'!$A$7:$A$336,0),6)-I32</f>
        <v>0</v>
      </c>
      <c r="P32" s="158">
        <f>INDEX('Budget by Source'!$A$6:$I$335,MATCH('Payment by Source'!$A32,'Budget by Source'!$A$6:$A$335,0),MATCH(P$3,'Budget by Source'!$A$5:$I$5,0))-(ROUND(INDEX('Budget by Source'!$A$6:$I$335,MATCH('Payment by Source'!$A32,'Budget by Source'!$A$6:$A$335,0),MATCH(P$3,'Budget by Source'!$A$5:$I$5,0))/10,0)*10)</f>
        <v>1</v>
      </c>
      <c r="Q32" s="158">
        <f>INDEX('Budget by Source'!$A$6:$I$335,MATCH('Payment by Source'!$A32,'Budget by Source'!$A$6:$A$335,0),MATCH(Q$3,'Budget by Source'!$A$5:$I$5,0))-(ROUND(INDEX('Budget by Source'!$A$6:$I$335,MATCH('Payment by Source'!$A32,'Budget by Source'!$A$6:$A$335,0),MATCH(Q$3,'Budget by Source'!$A$5:$I$5,0))/10,0)*10)</f>
        <v>-5</v>
      </c>
      <c r="R32" s="158">
        <f>INDEX('Budget by Source'!$A$6:$I$335,MATCH('Payment by Source'!$A32,'Budget by Source'!$A$6:$A$335,0),MATCH(R$3,'Budget by Source'!$A$5:$I$5,0))-(ROUND(INDEX('Budget by Source'!$A$6:$I$335,MATCH('Payment by Source'!$A32,'Budget by Source'!$A$6:$A$335,0),MATCH(R$3,'Budget by Source'!$A$5:$I$5,0))/10,0)*10)</f>
        <v>1</v>
      </c>
      <c r="S32" s="158">
        <f>INDEX('Budget by Source'!$A$6:$I$335,MATCH('Payment by Source'!$A32,'Budget by Source'!$A$6:$A$335,0),MATCH(S$3,'Budget by Source'!$A$5:$I$5,0))-(ROUND(INDEX('Budget by Source'!$A$6:$I$335,MATCH('Payment by Source'!$A32,'Budget by Source'!$A$6:$A$335,0),MATCH(S$3,'Budget by Source'!$A$5:$I$5,0))/10,0)*10)</f>
        <v>-5</v>
      </c>
      <c r="T32" s="158">
        <f>INDEX('Budget by Source'!$A$6:$I$335,MATCH('Payment by Source'!$A32,'Budget by Source'!$A$6:$A$335,0),MATCH(T$3,'Budget by Source'!$A$5:$I$5,0))-(ROUND(INDEX('Budget by Source'!$A$6:$I$335,MATCH('Payment by Source'!$A32,'Budget by Source'!$A$6:$A$335,0),MATCH(T$3,'Budget by Source'!$A$5:$I$5,0))/10,0)*10)</f>
        <v>-1</v>
      </c>
      <c r="U32" s="159">
        <f>INDEX('Budget by Source'!$A$6:$I$335,MATCH('Payment by Source'!$A32,'Budget by Source'!$A$6:$A$335,0),MATCH(U$3,'Budget by Source'!$A$5:$I$5,0))</f>
        <v>2613729</v>
      </c>
      <c r="V32" s="156">
        <f t="shared" si="1"/>
        <v>261373</v>
      </c>
      <c r="W32" s="156">
        <f t="shared" si="2"/>
        <v>2613730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17431</v>
      </c>
      <c r="D33" s="22">
        <f>IF(Notes!$B$2="June",ROUND('Budget by Source'!D33/10,0)+Q33,ROUND('Budget by Source'!D33/10,0))</f>
        <v>34965</v>
      </c>
      <c r="E33" s="22">
        <f>IF(Notes!$B$2="June",ROUND('Budget by Source'!E33/10,0)+R33,ROUND('Budget by Source'!E33/10,0))</f>
        <v>3547</v>
      </c>
      <c r="F33" s="22">
        <f>IF(Notes!$B$2="June",ROUND('Budget by Source'!F33/10,0)+S33,ROUND('Budget by Source'!F33/10,0))</f>
        <v>3851</v>
      </c>
      <c r="G33" s="22">
        <f>IF(Notes!$B$2="June",ROUND('Budget by Source'!G33/10,0)+T33,ROUND('Budget by Source'!G33/10,0))</f>
        <v>18978</v>
      </c>
      <c r="H33" s="22">
        <f t="shared" si="0"/>
        <v>230607</v>
      </c>
      <c r="I33" s="22">
        <f>INDEX(Data[],MATCH($A33,Data[Dist],0),MATCH(I$5,Data[#Headers],0))</f>
        <v>309379</v>
      </c>
      <c r="K33" s="70">
        <f>INDEX('Payment Total'!$A$7:$H$336,MATCH('Payment by Source'!$A33,'Payment Total'!$A$7:$A$336,0),6)-I33</f>
        <v>0</v>
      </c>
      <c r="P33" s="158">
        <f>INDEX('Budget by Source'!$A$6:$I$335,MATCH('Payment by Source'!$A33,'Budget by Source'!$A$6:$A$335,0),MATCH(P$3,'Budget by Source'!$A$5:$I$5,0))-(ROUND(INDEX('Budget by Source'!$A$6:$I$335,MATCH('Payment by Source'!$A33,'Budget by Source'!$A$6:$A$335,0),MATCH(P$3,'Budget by Source'!$A$5:$I$5,0))/10,0)*10)</f>
        <v>4</v>
      </c>
      <c r="Q33" s="158">
        <f>INDEX('Budget by Source'!$A$6:$I$335,MATCH('Payment by Source'!$A33,'Budget by Source'!$A$6:$A$335,0),MATCH(Q$3,'Budget by Source'!$A$5:$I$5,0))-(ROUND(INDEX('Budget by Source'!$A$6:$I$335,MATCH('Payment by Source'!$A33,'Budget by Source'!$A$6:$A$335,0),MATCH(Q$3,'Budget by Source'!$A$5:$I$5,0))/10,0)*10)</f>
        <v>0</v>
      </c>
      <c r="R33" s="158">
        <f>INDEX('Budget by Source'!$A$6:$I$335,MATCH('Payment by Source'!$A33,'Budget by Source'!$A$6:$A$335,0),MATCH(R$3,'Budget by Source'!$A$5:$I$5,0))-(ROUND(INDEX('Budget by Source'!$A$6:$I$335,MATCH('Payment by Source'!$A33,'Budget by Source'!$A$6:$A$335,0),MATCH(R$3,'Budget by Source'!$A$5:$I$5,0))/10,0)*10)</f>
        <v>-2</v>
      </c>
      <c r="S33" s="158">
        <f>INDEX('Budget by Source'!$A$6:$I$335,MATCH('Payment by Source'!$A33,'Budget by Source'!$A$6:$A$335,0),MATCH(S$3,'Budget by Source'!$A$5:$I$5,0))-(ROUND(INDEX('Budget by Source'!$A$6:$I$335,MATCH('Payment by Source'!$A33,'Budget by Source'!$A$6:$A$335,0),MATCH(S$3,'Budget by Source'!$A$5:$I$5,0))/10,0)*10)</f>
        <v>-2</v>
      </c>
      <c r="T33" s="158">
        <f>INDEX('Budget by Source'!$A$6:$I$335,MATCH('Payment by Source'!$A33,'Budget by Source'!$A$6:$A$335,0),MATCH(T$3,'Budget by Source'!$A$5:$I$5,0))-(ROUND(INDEX('Budget by Source'!$A$6:$I$335,MATCH('Payment by Source'!$A33,'Budget by Source'!$A$6:$A$335,0),MATCH(T$3,'Budget by Source'!$A$5:$I$5,0))/10,0)*10)</f>
        <v>2</v>
      </c>
      <c r="U33" s="159">
        <f>INDEX('Budget by Source'!$A$6:$I$335,MATCH('Payment by Source'!$A33,'Budget by Source'!$A$6:$A$335,0),MATCH(U$3,'Budget by Source'!$A$5:$I$5,0))</f>
        <v>2315768</v>
      </c>
      <c r="V33" s="156">
        <f t="shared" si="1"/>
        <v>231577</v>
      </c>
      <c r="W33" s="156">
        <f t="shared" si="2"/>
        <v>2315770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11393</v>
      </c>
      <c r="D34" s="22">
        <f>IF(Notes!$B$2="June",ROUND('Budget by Source'!D34/10,0)+Q34,ROUND('Budget by Source'!D34/10,0))</f>
        <v>46097</v>
      </c>
      <c r="E34" s="22">
        <f>IF(Notes!$B$2="June",ROUND('Budget by Source'!E34/10,0)+R34,ROUND('Budget by Source'!E34/10,0))</f>
        <v>5741</v>
      </c>
      <c r="F34" s="22">
        <f>IF(Notes!$B$2="June",ROUND('Budget by Source'!F34/10,0)+S34,ROUND('Budget by Source'!F34/10,0))</f>
        <v>4908</v>
      </c>
      <c r="G34" s="22">
        <f>IF(Notes!$B$2="June",ROUND('Budget by Source'!G34/10,0)+T34,ROUND('Budget by Source'!G34/10,0))</f>
        <v>26256</v>
      </c>
      <c r="H34" s="22">
        <f t="shared" si="0"/>
        <v>370932</v>
      </c>
      <c r="I34" s="22">
        <f>INDEX(Data[],MATCH($A34,Data[Dist],0),MATCH(I$5,Data[#Headers],0))</f>
        <v>465327</v>
      </c>
      <c r="K34" s="70">
        <f>INDEX('Payment Total'!$A$7:$H$336,MATCH('Payment by Source'!$A34,'Payment Total'!$A$7:$A$336,0),6)-I34</f>
        <v>0</v>
      </c>
      <c r="P34" s="158">
        <f>INDEX('Budget by Source'!$A$6:$I$335,MATCH('Payment by Source'!$A34,'Budget by Source'!$A$6:$A$335,0),MATCH(P$3,'Budget by Source'!$A$5:$I$5,0))-(ROUND(INDEX('Budget by Source'!$A$6:$I$335,MATCH('Payment by Source'!$A34,'Budget by Source'!$A$6:$A$335,0),MATCH(P$3,'Budget by Source'!$A$5:$I$5,0))/10,0)*10)</f>
        <v>-2</v>
      </c>
      <c r="Q34" s="158">
        <f>INDEX('Budget by Source'!$A$6:$I$335,MATCH('Payment by Source'!$A34,'Budget by Source'!$A$6:$A$335,0),MATCH(Q$3,'Budget by Source'!$A$5:$I$5,0))-(ROUND(INDEX('Budget by Source'!$A$6:$I$335,MATCH('Payment by Source'!$A34,'Budget by Source'!$A$6:$A$335,0),MATCH(Q$3,'Budget by Source'!$A$5:$I$5,0))/10,0)*10)</f>
        <v>-3</v>
      </c>
      <c r="R34" s="158">
        <f>INDEX('Budget by Source'!$A$6:$I$335,MATCH('Payment by Source'!$A34,'Budget by Source'!$A$6:$A$335,0),MATCH(R$3,'Budget by Source'!$A$5:$I$5,0))-(ROUND(INDEX('Budget by Source'!$A$6:$I$335,MATCH('Payment by Source'!$A34,'Budget by Source'!$A$6:$A$335,0),MATCH(R$3,'Budget by Source'!$A$5:$I$5,0))/10,0)*10)</f>
        <v>-5</v>
      </c>
      <c r="S34" s="158">
        <f>INDEX('Budget by Source'!$A$6:$I$335,MATCH('Payment by Source'!$A34,'Budget by Source'!$A$6:$A$335,0),MATCH(S$3,'Budget by Source'!$A$5:$I$5,0))-(ROUND(INDEX('Budget by Source'!$A$6:$I$335,MATCH('Payment by Source'!$A34,'Budget by Source'!$A$6:$A$335,0),MATCH(S$3,'Budget by Source'!$A$5:$I$5,0))/10,0)*10)</f>
        <v>-1</v>
      </c>
      <c r="T34" s="158">
        <f>INDEX('Budget by Source'!$A$6:$I$335,MATCH('Payment by Source'!$A34,'Budget by Source'!$A$6:$A$335,0),MATCH(T$3,'Budget by Source'!$A$5:$I$5,0))-(ROUND(INDEX('Budget by Source'!$A$6:$I$335,MATCH('Payment by Source'!$A34,'Budget by Source'!$A$6:$A$335,0),MATCH(T$3,'Budget by Source'!$A$5:$I$5,0))/10,0)*10)</f>
        <v>0</v>
      </c>
      <c r="U34" s="159">
        <f>INDEX('Budget by Source'!$A$6:$I$335,MATCH('Payment by Source'!$A34,'Budget by Source'!$A$6:$A$335,0),MATCH(U$3,'Budget by Source'!$A$5:$I$5,0))</f>
        <v>3722496</v>
      </c>
      <c r="V34" s="156">
        <f t="shared" si="1"/>
        <v>372250</v>
      </c>
      <c r="W34" s="156">
        <f t="shared" si="2"/>
        <v>3722500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3019</v>
      </c>
      <c r="D35" s="22">
        <f>IF(Notes!$B$2="June",ROUND('Budget by Source'!D35/10,0)+Q35,ROUND('Budget by Source'!D35/10,0))</f>
        <v>10169</v>
      </c>
      <c r="E35" s="22">
        <f>IF(Notes!$B$2="June",ROUND('Budget by Source'!E35/10,0)+R35,ROUND('Budget by Source'!E35/10,0))</f>
        <v>1240</v>
      </c>
      <c r="F35" s="22">
        <f>IF(Notes!$B$2="June",ROUND('Budget by Source'!F35/10,0)+S35,ROUND('Budget by Source'!F35/10,0))</f>
        <v>739</v>
      </c>
      <c r="G35" s="22">
        <f>IF(Notes!$B$2="June",ROUND('Budget by Source'!G35/10,0)+T35,ROUND('Budget by Source'!G35/10,0))</f>
        <v>6107</v>
      </c>
      <c r="H35" s="22">
        <f t="shared" si="0"/>
        <v>68361</v>
      </c>
      <c r="I35" s="22">
        <f>INDEX(Data[],MATCH($A35,Data[Dist],0),MATCH(I$5,Data[#Headers],0))</f>
        <v>89635</v>
      </c>
      <c r="K35" s="70">
        <f>INDEX('Payment Total'!$A$7:$H$336,MATCH('Payment by Source'!$A35,'Payment Total'!$A$7:$A$336,0),6)-I35</f>
        <v>0</v>
      </c>
      <c r="P35" s="158">
        <f>INDEX('Budget by Source'!$A$6:$I$335,MATCH('Payment by Source'!$A35,'Budget by Source'!$A$6:$A$335,0),MATCH(P$3,'Budget by Source'!$A$5:$I$5,0))-(ROUND(INDEX('Budget by Source'!$A$6:$I$335,MATCH('Payment by Source'!$A35,'Budget by Source'!$A$6:$A$335,0),MATCH(P$3,'Budget by Source'!$A$5:$I$5,0))/10,0)*10)</f>
        <v>3</v>
      </c>
      <c r="Q35" s="158">
        <f>INDEX('Budget by Source'!$A$6:$I$335,MATCH('Payment by Source'!$A35,'Budget by Source'!$A$6:$A$335,0),MATCH(Q$3,'Budget by Source'!$A$5:$I$5,0))-(ROUND(INDEX('Budget by Source'!$A$6:$I$335,MATCH('Payment by Source'!$A35,'Budget by Source'!$A$6:$A$335,0),MATCH(Q$3,'Budget by Source'!$A$5:$I$5,0))/10,0)*10)</f>
        <v>-3</v>
      </c>
      <c r="R35" s="158">
        <f>INDEX('Budget by Source'!$A$6:$I$335,MATCH('Payment by Source'!$A35,'Budget by Source'!$A$6:$A$335,0),MATCH(R$3,'Budget by Source'!$A$5:$I$5,0))-(ROUND(INDEX('Budget by Source'!$A$6:$I$335,MATCH('Payment by Source'!$A35,'Budget by Source'!$A$6:$A$335,0),MATCH(R$3,'Budget by Source'!$A$5:$I$5,0))/10,0)*10)</f>
        <v>4</v>
      </c>
      <c r="S35" s="158">
        <f>INDEX('Budget by Source'!$A$6:$I$335,MATCH('Payment by Source'!$A35,'Budget by Source'!$A$6:$A$335,0),MATCH(S$3,'Budget by Source'!$A$5:$I$5,0))-(ROUND(INDEX('Budget by Source'!$A$6:$I$335,MATCH('Payment by Source'!$A35,'Budget by Source'!$A$6:$A$335,0),MATCH(S$3,'Budget by Source'!$A$5:$I$5,0))/10,0)*10)</f>
        <v>-3</v>
      </c>
      <c r="T35" s="158">
        <f>INDEX('Budget by Source'!$A$6:$I$335,MATCH('Payment by Source'!$A35,'Budget by Source'!$A$6:$A$335,0),MATCH(T$3,'Budget by Source'!$A$5:$I$5,0))-(ROUND(INDEX('Budget by Source'!$A$6:$I$335,MATCH('Payment by Source'!$A35,'Budget by Source'!$A$6:$A$335,0),MATCH(T$3,'Budget by Source'!$A$5:$I$5,0))/10,0)*10)</f>
        <v>-2</v>
      </c>
      <c r="U35" s="159">
        <f>INDEX('Budget by Source'!$A$6:$I$335,MATCH('Payment by Source'!$A35,'Budget by Source'!$A$6:$A$335,0),MATCH(U$3,'Budget by Source'!$A$5:$I$5,0))</f>
        <v>712372</v>
      </c>
      <c r="V35" s="156">
        <f t="shared" si="1"/>
        <v>71237</v>
      </c>
      <c r="W35" s="156">
        <f t="shared" si="2"/>
        <v>712370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31506</v>
      </c>
      <c r="D36" s="22">
        <f>IF(Notes!$B$2="June",ROUND('Budget by Source'!D36/10,0)+Q36,ROUND('Budget by Source'!D36/10,0))</f>
        <v>85798</v>
      </c>
      <c r="E36" s="22">
        <f>IF(Notes!$B$2="June",ROUND('Budget by Source'!E36/10,0)+R36,ROUND('Budget by Source'!E36/10,0))</f>
        <v>8808</v>
      </c>
      <c r="F36" s="22">
        <f>IF(Notes!$B$2="June",ROUND('Budget by Source'!F36/10,0)+S36,ROUND('Budget by Source'!F36/10,0))</f>
        <v>9436</v>
      </c>
      <c r="G36" s="22">
        <f>IF(Notes!$B$2="June",ROUND('Budget by Source'!G36/10,0)+T36,ROUND('Budget by Source'!G36/10,0))</f>
        <v>48968</v>
      </c>
      <c r="H36" s="22">
        <f t="shared" si="0"/>
        <v>608153</v>
      </c>
      <c r="I36" s="22">
        <f>INDEX(Data[],MATCH($A36,Data[Dist],0),MATCH(I$5,Data[#Headers],0))</f>
        <v>792669</v>
      </c>
      <c r="K36" s="70">
        <f>INDEX('Payment Total'!$A$7:$H$336,MATCH('Payment by Source'!$A36,'Payment Total'!$A$7:$A$336,0),6)-I36</f>
        <v>0</v>
      </c>
      <c r="P36" s="158">
        <f>INDEX('Budget by Source'!$A$6:$I$335,MATCH('Payment by Source'!$A36,'Budget by Source'!$A$6:$A$335,0),MATCH(P$3,'Budget by Source'!$A$5:$I$5,0))-(ROUND(INDEX('Budget by Source'!$A$6:$I$335,MATCH('Payment by Source'!$A36,'Budget by Source'!$A$6:$A$335,0),MATCH(P$3,'Budget by Source'!$A$5:$I$5,0))/10,0)*10)</f>
        <v>3</v>
      </c>
      <c r="Q36" s="158">
        <f>INDEX('Budget by Source'!$A$6:$I$335,MATCH('Payment by Source'!$A36,'Budget by Source'!$A$6:$A$335,0),MATCH(Q$3,'Budget by Source'!$A$5:$I$5,0))-(ROUND(INDEX('Budget by Source'!$A$6:$I$335,MATCH('Payment by Source'!$A36,'Budget by Source'!$A$6:$A$335,0),MATCH(Q$3,'Budget by Source'!$A$5:$I$5,0))/10,0)*10)</f>
        <v>-2</v>
      </c>
      <c r="R36" s="158">
        <f>INDEX('Budget by Source'!$A$6:$I$335,MATCH('Payment by Source'!$A36,'Budget by Source'!$A$6:$A$335,0),MATCH(R$3,'Budget by Source'!$A$5:$I$5,0))-(ROUND(INDEX('Budget by Source'!$A$6:$I$335,MATCH('Payment by Source'!$A36,'Budget by Source'!$A$6:$A$335,0),MATCH(R$3,'Budget by Source'!$A$5:$I$5,0))/10,0)*10)</f>
        <v>-4</v>
      </c>
      <c r="S36" s="158">
        <f>INDEX('Budget by Source'!$A$6:$I$335,MATCH('Payment by Source'!$A36,'Budget by Source'!$A$6:$A$335,0),MATCH(S$3,'Budget by Source'!$A$5:$I$5,0))-(ROUND(INDEX('Budget by Source'!$A$6:$I$335,MATCH('Payment by Source'!$A36,'Budget by Source'!$A$6:$A$335,0),MATCH(S$3,'Budget by Source'!$A$5:$I$5,0))/10,0)*10)</f>
        <v>2</v>
      </c>
      <c r="T36" s="158">
        <f>INDEX('Budget by Source'!$A$6:$I$335,MATCH('Payment by Source'!$A36,'Budget by Source'!$A$6:$A$335,0),MATCH(T$3,'Budget by Source'!$A$5:$I$5,0))-(ROUND(INDEX('Budget by Source'!$A$6:$I$335,MATCH('Payment by Source'!$A36,'Budget by Source'!$A$6:$A$335,0),MATCH(T$3,'Budget by Source'!$A$5:$I$5,0))/10,0)*10)</f>
        <v>-1</v>
      </c>
      <c r="U36" s="159">
        <f>INDEX('Budget by Source'!$A$6:$I$335,MATCH('Payment by Source'!$A36,'Budget by Source'!$A$6:$A$335,0),MATCH(U$3,'Budget by Source'!$A$5:$I$5,0))</f>
        <v>6106281</v>
      </c>
      <c r="V36" s="156">
        <f t="shared" si="1"/>
        <v>610628</v>
      </c>
      <c r="W36" s="156">
        <f t="shared" si="2"/>
        <v>6106280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91490</v>
      </c>
      <c r="D37" s="22">
        <f>IF(Notes!$B$2="June",ROUND('Budget by Source'!D37/10,0)+Q37,ROUND('Budget by Source'!D37/10,0))</f>
        <v>231358</v>
      </c>
      <c r="E37" s="22">
        <f>IF(Notes!$B$2="June",ROUND('Budget by Source'!E37/10,0)+R37,ROUND('Budget by Source'!E37/10,0))</f>
        <v>26589</v>
      </c>
      <c r="F37" s="22">
        <f>IF(Notes!$B$2="June",ROUND('Budget by Source'!F37/10,0)+S37,ROUND('Budget by Source'!F37/10,0))</f>
        <v>26481</v>
      </c>
      <c r="G37" s="22">
        <f>IF(Notes!$B$2="June",ROUND('Budget by Source'!G37/10,0)+T37,ROUND('Budget by Source'!G37/10,0))</f>
        <v>133865</v>
      </c>
      <c r="H37" s="22">
        <f t="shared" si="0"/>
        <v>1850692</v>
      </c>
      <c r="I37" s="22">
        <f>INDEX(Data[],MATCH($A37,Data[Dist],0),MATCH(I$5,Data[#Headers],0))</f>
        <v>2360475</v>
      </c>
      <c r="K37" s="70">
        <f>INDEX('Payment Total'!$A$7:$H$336,MATCH('Payment by Source'!$A37,'Payment Total'!$A$7:$A$336,0),6)-I37</f>
        <v>0</v>
      </c>
      <c r="P37" s="158">
        <f>INDEX('Budget by Source'!$A$6:$I$335,MATCH('Payment by Source'!$A37,'Budget by Source'!$A$6:$A$335,0),MATCH(P$3,'Budget by Source'!$A$5:$I$5,0))-(ROUND(INDEX('Budget by Source'!$A$6:$I$335,MATCH('Payment by Source'!$A37,'Budget by Source'!$A$6:$A$335,0),MATCH(P$3,'Budget by Source'!$A$5:$I$5,0))/10,0)*10)</f>
        <v>-4</v>
      </c>
      <c r="Q37" s="158">
        <f>INDEX('Budget by Source'!$A$6:$I$335,MATCH('Payment by Source'!$A37,'Budget by Source'!$A$6:$A$335,0),MATCH(Q$3,'Budget by Source'!$A$5:$I$5,0))-(ROUND(INDEX('Budget by Source'!$A$6:$I$335,MATCH('Payment by Source'!$A37,'Budget by Source'!$A$6:$A$335,0),MATCH(Q$3,'Budget by Source'!$A$5:$I$5,0))/10,0)*10)</f>
        <v>-1</v>
      </c>
      <c r="R37" s="158">
        <f>INDEX('Budget by Source'!$A$6:$I$335,MATCH('Payment by Source'!$A37,'Budget by Source'!$A$6:$A$335,0),MATCH(R$3,'Budget by Source'!$A$5:$I$5,0))-(ROUND(INDEX('Budget by Source'!$A$6:$I$335,MATCH('Payment by Source'!$A37,'Budget by Source'!$A$6:$A$335,0),MATCH(R$3,'Budget by Source'!$A$5:$I$5,0))/10,0)*10)</f>
        <v>-4</v>
      </c>
      <c r="S37" s="158">
        <f>INDEX('Budget by Source'!$A$6:$I$335,MATCH('Payment by Source'!$A37,'Budget by Source'!$A$6:$A$335,0),MATCH(S$3,'Budget by Source'!$A$5:$I$5,0))-(ROUND(INDEX('Budget by Source'!$A$6:$I$335,MATCH('Payment by Source'!$A37,'Budget by Source'!$A$6:$A$335,0),MATCH(S$3,'Budget by Source'!$A$5:$I$5,0))/10,0)*10)</f>
        <v>-1</v>
      </c>
      <c r="T37" s="158">
        <f>INDEX('Budget by Source'!$A$6:$I$335,MATCH('Payment by Source'!$A37,'Budget by Source'!$A$6:$A$335,0),MATCH(T$3,'Budget by Source'!$A$5:$I$5,0))-(ROUND(INDEX('Budget by Source'!$A$6:$I$335,MATCH('Payment by Source'!$A37,'Budget by Source'!$A$6:$A$335,0),MATCH(T$3,'Budget by Source'!$A$5:$I$5,0))/10,0)*10)</f>
        <v>0</v>
      </c>
      <c r="U37" s="159">
        <f>INDEX('Budget by Source'!$A$6:$I$335,MATCH('Payment by Source'!$A37,'Budget by Source'!$A$6:$A$335,0),MATCH(U$3,'Budget by Source'!$A$5:$I$5,0))</f>
        <v>18575124</v>
      </c>
      <c r="V37" s="156">
        <f t="shared" si="1"/>
        <v>1857512</v>
      </c>
      <c r="W37" s="156">
        <f t="shared" si="2"/>
        <v>18575120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22450</v>
      </c>
      <c r="D38" s="22">
        <f>IF(Notes!$B$2="June",ROUND('Budget by Source'!D38/10,0)+Q38,ROUND('Budget by Source'!D38/10,0))</f>
        <v>52195</v>
      </c>
      <c r="E38" s="22">
        <f>IF(Notes!$B$2="June",ROUND('Budget by Source'!E38/10,0)+R38,ROUND('Budget by Source'!E38/10,0))</f>
        <v>6736</v>
      </c>
      <c r="F38" s="22">
        <f>IF(Notes!$B$2="June",ROUND('Budget by Source'!F38/10,0)+S38,ROUND('Budget by Source'!F38/10,0))</f>
        <v>5521</v>
      </c>
      <c r="G38" s="22">
        <f>IF(Notes!$B$2="June",ROUND('Budget by Source'!G38/10,0)+T38,ROUND('Budget by Source'!G38/10,0))</f>
        <v>28669</v>
      </c>
      <c r="H38" s="22">
        <f t="shared" si="0"/>
        <v>315118</v>
      </c>
      <c r="I38" s="22">
        <f>INDEX(Data[],MATCH($A38,Data[Dist],0),MATCH(I$5,Data[#Headers],0))</f>
        <v>430689</v>
      </c>
      <c r="K38" s="70">
        <f>INDEX('Payment Total'!$A$7:$H$336,MATCH('Payment by Source'!$A38,'Payment Total'!$A$7:$A$336,0),6)-I38</f>
        <v>0</v>
      </c>
      <c r="P38" s="158">
        <f>INDEX('Budget by Source'!$A$6:$I$335,MATCH('Payment by Source'!$A38,'Budget by Source'!$A$6:$A$335,0),MATCH(P$3,'Budget by Source'!$A$5:$I$5,0))-(ROUND(INDEX('Budget by Source'!$A$6:$I$335,MATCH('Payment by Source'!$A38,'Budget by Source'!$A$6:$A$335,0),MATCH(P$3,'Budget by Source'!$A$5:$I$5,0))/10,0)*10)</f>
        <v>-5</v>
      </c>
      <c r="Q38" s="158">
        <f>INDEX('Budget by Source'!$A$6:$I$335,MATCH('Payment by Source'!$A38,'Budget by Source'!$A$6:$A$335,0),MATCH(Q$3,'Budget by Source'!$A$5:$I$5,0))-(ROUND(INDEX('Budget by Source'!$A$6:$I$335,MATCH('Payment by Source'!$A38,'Budget by Source'!$A$6:$A$335,0),MATCH(Q$3,'Budget by Source'!$A$5:$I$5,0))/10,0)*10)</f>
        <v>4</v>
      </c>
      <c r="R38" s="158">
        <f>INDEX('Budget by Source'!$A$6:$I$335,MATCH('Payment by Source'!$A38,'Budget by Source'!$A$6:$A$335,0),MATCH(R$3,'Budget by Source'!$A$5:$I$5,0))-(ROUND(INDEX('Budget by Source'!$A$6:$I$335,MATCH('Payment by Source'!$A38,'Budget by Source'!$A$6:$A$335,0),MATCH(R$3,'Budget by Source'!$A$5:$I$5,0))/10,0)*10)</f>
        <v>2</v>
      </c>
      <c r="S38" s="158">
        <f>INDEX('Budget by Source'!$A$6:$I$335,MATCH('Payment by Source'!$A38,'Budget by Source'!$A$6:$A$335,0),MATCH(S$3,'Budget by Source'!$A$5:$I$5,0))-(ROUND(INDEX('Budget by Source'!$A$6:$I$335,MATCH('Payment by Source'!$A38,'Budget by Source'!$A$6:$A$335,0),MATCH(S$3,'Budget by Source'!$A$5:$I$5,0))/10,0)*10)</f>
        <v>4</v>
      </c>
      <c r="T38" s="158">
        <f>INDEX('Budget by Source'!$A$6:$I$335,MATCH('Payment by Source'!$A38,'Budget by Source'!$A$6:$A$335,0),MATCH(T$3,'Budget by Source'!$A$5:$I$5,0))-(ROUND(INDEX('Budget by Source'!$A$6:$I$335,MATCH('Payment by Source'!$A38,'Budget by Source'!$A$6:$A$335,0),MATCH(T$3,'Budget by Source'!$A$5:$I$5,0))/10,0)*10)</f>
        <v>-2</v>
      </c>
      <c r="U38" s="159">
        <f>INDEX('Budget by Source'!$A$6:$I$335,MATCH('Payment by Source'!$A38,'Budget by Source'!$A$6:$A$335,0),MATCH(U$3,'Budget by Source'!$A$5:$I$5,0))</f>
        <v>3165795</v>
      </c>
      <c r="V38" s="156">
        <f t="shared" si="1"/>
        <v>316580</v>
      </c>
      <c r="W38" s="156">
        <f t="shared" si="2"/>
        <v>3165800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24468</v>
      </c>
      <c r="D39" s="22">
        <f>IF(Notes!$B$2="June",ROUND('Budget by Source'!D39/10,0)+Q39,ROUND('Budget by Source'!D39/10,0))</f>
        <v>109730</v>
      </c>
      <c r="E39" s="22">
        <f>IF(Notes!$B$2="June",ROUND('Budget by Source'!E39/10,0)+R39,ROUND('Budget by Source'!E39/10,0))</f>
        <v>13310</v>
      </c>
      <c r="F39" s="22">
        <f>IF(Notes!$B$2="June",ROUND('Budget by Source'!F39/10,0)+S39,ROUND('Budget by Source'!F39/10,0))</f>
        <v>11355</v>
      </c>
      <c r="G39" s="22">
        <f>IF(Notes!$B$2="June",ROUND('Budget by Source'!G39/10,0)+T39,ROUND('Budget by Source'!G39/10,0))</f>
        <v>64953</v>
      </c>
      <c r="H39" s="22">
        <f t="shared" si="0"/>
        <v>1130473</v>
      </c>
      <c r="I39" s="22">
        <f>INDEX(Data[],MATCH($A39,Data[Dist],0),MATCH(I$5,Data[#Headers],0))</f>
        <v>1354289</v>
      </c>
      <c r="K39" s="70">
        <f>INDEX('Payment Total'!$A$7:$H$336,MATCH('Payment by Source'!$A39,'Payment Total'!$A$7:$A$336,0),6)-I39</f>
        <v>0</v>
      </c>
      <c r="P39" s="158">
        <f>INDEX('Budget by Source'!$A$6:$I$335,MATCH('Payment by Source'!$A39,'Budget by Source'!$A$6:$A$335,0),MATCH(P$3,'Budget by Source'!$A$5:$I$5,0))-(ROUND(INDEX('Budget by Source'!$A$6:$I$335,MATCH('Payment by Source'!$A39,'Budget by Source'!$A$6:$A$335,0),MATCH(P$3,'Budget by Source'!$A$5:$I$5,0))/10,0)*10)</f>
        <v>3</v>
      </c>
      <c r="Q39" s="158">
        <f>INDEX('Budget by Source'!$A$6:$I$335,MATCH('Payment by Source'!$A39,'Budget by Source'!$A$6:$A$335,0),MATCH(Q$3,'Budget by Source'!$A$5:$I$5,0))-(ROUND(INDEX('Budget by Source'!$A$6:$I$335,MATCH('Payment by Source'!$A39,'Budget by Source'!$A$6:$A$335,0),MATCH(Q$3,'Budget by Source'!$A$5:$I$5,0))/10,0)*10)</f>
        <v>3</v>
      </c>
      <c r="R39" s="158">
        <f>INDEX('Budget by Source'!$A$6:$I$335,MATCH('Payment by Source'!$A39,'Budget by Source'!$A$6:$A$335,0),MATCH(R$3,'Budget by Source'!$A$5:$I$5,0))-(ROUND(INDEX('Budget by Source'!$A$6:$I$335,MATCH('Payment by Source'!$A39,'Budget by Source'!$A$6:$A$335,0),MATCH(R$3,'Budget by Source'!$A$5:$I$5,0))/10,0)*10)</f>
        <v>1</v>
      </c>
      <c r="S39" s="158">
        <f>INDEX('Budget by Source'!$A$6:$I$335,MATCH('Payment by Source'!$A39,'Budget by Source'!$A$6:$A$335,0),MATCH(S$3,'Budget by Source'!$A$5:$I$5,0))-(ROUND(INDEX('Budget by Source'!$A$6:$I$335,MATCH('Payment by Source'!$A39,'Budget by Source'!$A$6:$A$335,0),MATCH(S$3,'Budget by Source'!$A$5:$I$5,0))/10,0)*10)</f>
        <v>-5</v>
      </c>
      <c r="T39" s="158">
        <f>INDEX('Budget by Source'!$A$6:$I$335,MATCH('Payment by Source'!$A39,'Budget by Source'!$A$6:$A$335,0),MATCH(T$3,'Budget by Source'!$A$5:$I$5,0))-(ROUND(INDEX('Budget by Source'!$A$6:$I$335,MATCH('Payment by Source'!$A39,'Budget by Source'!$A$6:$A$335,0),MATCH(T$3,'Budget by Source'!$A$5:$I$5,0))/10,0)*10)</f>
        <v>-1</v>
      </c>
      <c r="U39" s="159">
        <f>INDEX('Budget by Source'!$A$6:$I$335,MATCH('Payment by Source'!$A39,'Budget by Source'!$A$6:$A$335,0),MATCH(U$3,'Budget by Source'!$A$5:$I$5,0))</f>
        <v>11337871</v>
      </c>
      <c r="V39" s="156">
        <f t="shared" si="1"/>
        <v>1133787</v>
      </c>
      <c r="W39" s="156">
        <f t="shared" si="2"/>
        <v>11337870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38880</v>
      </c>
      <c r="D40" s="22">
        <f>IF(Notes!$B$2="June",ROUND('Budget by Source'!D40/10,0)+Q40,ROUND('Budget by Source'!D40/10,0))</f>
        <v>120979</v>
      </c>
      <c r="E40" s="22">
        <f>IF(Notes!$B$2="June",ROUND('Budget by Source'!E40/10,0)+R40,ROUND('Budget by Source'!E40/10,0))</f>
        <v>13837</v>
      </c>
      <c r="F40" s="22">
        <f>IF(Notes!$B$2="June",ROUND('Budget by Source'!F40/10,0)+S40,ROUND('Budget by Source'!F40/10,0))</f>
        <v>15082</v>
      </c>
      <c r="G40" s="22">
        <f>IF(Notes!$B$2="June",ROUND('Budget by Source'!G40/10,0)+T40,ROUND('Budget by Source'!G40/10,0))</f>
        <v>67039</v>
      </c>
      <c r="H40" s="22">
        <f t="shared" si="0"/>
        <v>1139153</v>
      </c>
      <c r="I40" s="22">
        <f>INDEX(Data[],MATCH($A40,Data[Dist],0),MATCH(I$5,Data[#Headers],0))</f>
        <v>1394970</v>
      </c>
      <c r="K40" s="70">
        <f>INDEX('Payment Total'!$A$7:$H$336,MATCH('Payment by Source'!$A40,'Payment Total'!$A$7:$A$336,0),6)-I40</f>
        <v>0</v>
      </c>
      <c r="P40" s="158">
        <f>INDEX('Budget by Source'!$A$6:$I$335,MATCH('Payment by Source'!$A40,'Budget by Source'!$A$6:$A$335,0),MATCH(P$3,'Budget by Source'!$A$5:$I$5,0))-(ROUND(INDEX('Budget by Source'!$A$6:$I$335,MATCH('Payment by Source'!$A40,'Budget by Source'!$A$6:$A$335,0),MATCH(P$3,'Budget by Source'!$A$5:$I$5,0))/10,0)*10)</f>
        <v>4</v>
      </c>
      <c r="Q40" s="158">
        <f>INDEX('Budget by Source'!$A$6:$I$335,MATCH('Payment by Source'!$A40,'Budget by Source'!$A$6:$A$335,0),MATCH(Q$3,'Budget by Source'!$A$5:$I$5,0))-(ROUND(INDEX('Budget by Source'!$A$6:$I$335,MATCH('Payment by Source'!$A40,'Budget by Source'!$A$6:$A$335,0),MATCH(Q$3,'Budget by Source'!$A$5:$I$5,0))/10,0)*10)</f>
        <v>1</v>
      </c>
      <c r="R40" s="158">
        <f>INDEX('Budget by Source'!$A$6:$I$335,MATCH('Payment by Source'!$A40,'Budget by Source'!$A$6:$A$335,0),MATCH(R$3,'Budget by Source'!$A$5:$I$5,0))-(ROUND(INDEX('Budget by Source'!$A$6:$I$335,MATCH('Payment by Source'!$A40,'Budget by Source'!$A$6:$A$335,0),MATCH(R$3,'Budget by Source'!$A$5:$I$5,0))/10,0)*10)</f>
        <v>-1</v>
      </c>
      <c r="S40" s="158">
        <f>INDEX('Budget by Source'!$A$6:$I$335,MATCH('Payment by Source'!$A40,'Budget by Source'!$A$6:$A$335,0),MATCH(S$3,'Budget by Source'!$A$5:$I$5,0))-(ROUND(INDEX('Budget by Source'!$A$6:$I$335,MATCH('Payment by Source'!$A40,'Budget by Source'!$A$6:$A$335,0),MATCH(S$3,'Budget by Source'!$A$5:$I$5,0))/10,0)*10)</f>
        <v>2</v>
      </c>
      <c r="T40" s="158">
        <f>INDEX('Budget by Source'!$A$6:$I$335,MATCH('Payment by Source'!$A40,'Budget by Source'!$A$6:$A$335,0),MATCH(T$3,'Budget by Source'!$A$5:$I$5,0))-(ROUND(INDEX('Budget by Source'!$A$6:$I$335,MATCH('Payment by Source'!$A40,'Budget by Source'!$A$6:$A$335,0),MATCH(T$3,'Budget by Source'!$A$5:$I$5,0))/10,0)*10)</f>
        <v>-5</v>
      </c>
      <c r="U40" s="159">
        <f>INDEX('Budget by Source'!$A$6:$I$335,MATCH('Payment by Source'!$A40,'Budget by Source'!$A$6:$A$335,0),MATCH(U$3,'Budget by Source'!$A$5:$I$5,0))</f>
        <v>11425731</v>
      </c>
      <c r="V40" s="156">
        <f t="shared" si="1"/>
        <v>1142573</v>
      </c>
      <c r="W40" s="156">
        <f t="shared" si="2"/>
        <v>11425730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18431</v>
      </c>
      <c r="D41" s="22">
        <f>IF(Notes!$B$2="June",ROUND('Budget by Source'!D41/10,0)+Q41,ROUND('Budget by Source'!D41/10,0))</f>
        <v>34326</v>
      </c>
      <c r="E41" s="22">
        <f>IF(Notes!$B$2="June",ROUND('Budget by Source'!E41/10,0)+R41,ROUND('Budget by Source'!E41/10,0))</f>
        <v>4588</v>
      </c>
      <c r="F41" s="22">
        <f>IF(Notes!$B$2="June",ROUND('Budget by Source'!F41/10,0)+S41,ROUND('Budget by Source'!F41/10,0))</f>
        <v>3759</v>
      </c>
      <c r="G41" s="22">
        <f>IF(Notes!$B$2="June",ROUND('Budget by Source'!G41/10,0)+T41,ROUND('Budget by Source'!G41/10,0))</f>
        <v>19519</v>
      </c>
      <c r="H41" s="22">
        <f t="shared" si="0"/>
        <v>258912</v>
      </c>
      <c r="I41" s="22">
        <f>INDEX(Data[],MATCH($A41,Data[Dist],0),MATCH(I$5,Data[#Headers],0))</f>
        <v>339535</v>
      </c>
      <c r="K41" s="70">
        <f>INDEX('Payment Total'!$A$7:$H$336,MATCH('Payment by Source'!$A41,'Payment Total'!$A$7:$A$336,0),6)-I41</f>
        <v>0</v>
      </c>
      <c r="P41" s="158">
        <f>INDEX('Budget by Source'!$A$6:$I$335,MATCH('Payment by Source'!$A41,'Budget by Source'!$A$6:$A$335,0),MATCH(P$3,'Budget by Source'!$A$5:$I$5,0))-(ROUND(INDEX('Budget by Source'!$A$6:$I$335,MATCH('Payment by Source'!$A41,'Budget by Source'!$A$6:$A$335,0),MATCH(P$3,'Budget by Source'!$A$5:$I$5,0))/10,0)*10)</f>
        <v>-2</v>
      </c>
      <c r="Q41" s="158">
        <f>INDEX('Budget by Source'!$A$6:$I$335,MATCH('Payment by Source'!$A41,'Budget by Source'!$A$6:$A$335,0),MATCH(Q$3,'Budget by Source'!$A$5:$I$5,0))-(ROUND(INDEX('Budget by Source'!$A$6:$I$335,MATCH('Payment by Source'!$A41,'Budget by Source'!$A$6:$A$335,0),MATCH(Q$3,'Budget by Source'!$A$5:$I$5,0))/10,0)*10)</f>
        <v>-2</v>
      </c>
      <c r="R41" s="158">
        <f>INDEX('Budget by Source'!$A$6:$I$335,MATCH('Payment by Source'!$A41,'Budget by Source'!$A$6:$A$335,0),MATCH(R$3,'Budget by Source'!$A$5:$I$5,0))-(ROUND(INDEX('Budget by Source'!$A$6:$I$335,MATCH('Payment by Source'!$A41,'Budget by Source'!$A$6:$A$335,0),MATCH(R$3,'Budget by Source'!$A$5:$I$5,0))/10,0)*10)</f>
        <v>-5</v>
      </c>
      <c r="S41" s="158">
        <f>INDEX('Budget by Source'!$A$6:$I$335,MATCH('Payment by Source'!$A41,'Budget by Source'!$A$6:$A$335,0),MATCH(S$3,'Budget by Source'!$A$5:$I$5,0))-(ROUND(INDEX('Budget by Source'!$A$6:$I$335,MATCH('Payment by Source'!$A41,'Budget by Source'!$A$6:$A$335,0),MATCH(S$3,'Budget by Source'!$A$5:$I$5,0))/10,0)*10)</f>
        <v>-5</v>
      </c>
      <c r="T41" s="158">
        <f>INDEX('Budget by Source'!$A$6:$I$335,MATCH('Payment by Source'!$A41,'Budget by Source'!$A$6:$A$335,0),MATCH(T$3,'Budget by Source'!$A$5:$I$5,0))-(ROUND(INDEX('Budget by Source'!$A$6:$I$335,MATCH('Payment by Source'!$A41,'Budget by Source'!$A$6:$A$335,0),MATCH(T$3,'Budget by Source'!$A$5:$I$5,0))/10,0)*10)</f>
        <v>0</v>
      </c>
      <c r="U41" s="159">
        <f>INDEX('Budget by Source'!$A$6:$I$335,MATCH('Payment by Source'!$A41,'Budget by Source'!$A$6:$A$335,0),MATCH(U$3,'Budget by Source'!$A$5:$I$5,0))</f>
        <v>2598919</v>
      </c>
      <c r="V41" s="156">
        <f t="shared" si="1"/>
        <v>259892</v>
      </c>
      <c r="W41" s="156">
        <f t="shared" si="2"/>
        <v>2598920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11730</v>
      </c>
      <c r="D42" s="22">
        <f>IF(Notes!$B$2="June",ROUND('Budget by Source'!D42/10,0)+Q42,ROUND('Budget by Source'!D42/10,0))</f>
        <v>32720</v>
      </c>
      <c r="E42" s="22">
        <f>IF(Notes!$B$2="June",ROUND('Budget by Source'!E42/10,0)+R42,ROUND('Budget by Source'!E42/10,0))</f>
        <v>3765</v>
      </c>
      <c r="F42" s="22">
        <f>IF(Notes!$B$2="June",ROUND('Budget by Source'!F42/10,0)+S42,ROUND('Budget by Source'!F42/10,0))</f>
        <v>3354</v>
      </c>
      <c r="G42" s="22">
        <f>IF(Notes!$B$2="June",ROUND('Budget by Source'!G42/10,0)+T42,ROUND('Budget by Source'!G42/10,0))</f>
        <v>18256</v>
      </c>
      <c r="H42" s="22">
        <f t="shared" si="0"/>
        <v>192112</v>
      </c>
      <c r="I42" s="22">
        <f>INDEX(Data[],MATCH($A42,Data[Dist],0),MATCH(I$5,Data[#Headers],0))</f>
        <v>261937</v>
      </c>
      <c r="K42" s="70">
        <f>INDEX('Payment Total'!$A$7:$H$336,MATCH('Payment by Source'!$A42,'Payment Total'!$A$7:$A$336,0),6)-I42</f>
        <v>0</v>
      </c>
      <c r="P42" s="158">
        <f>INDEX('Budget by Source'!$A$6:$I$335,MATCH('Payment by Source'!$A42,'Budget by Source'!$A$6:$A$335,0),MATCH(P$3,'Budget by Source'!$A$5:$I$5,0))-(ROUND(INDEX('Budget by Source'!$A$6:$I$335,MATCH('Payment by Source'!$A42,'Budget by Source'!$A$6:$A$335,0),MATCH(P$3,'Budget by Source'!$A$5:$I$5,0))/10,0)*10)</f>
        <v>0</v>
      </c>
      <c r="Q42" s="158">
        <f>INDEX('Budget by Source'!$A$6:$I$335,MATCH('Payment by Source'!$A42,'Budget by Source'!$A$6:$A$335,0),MATCH(Q$3,'Budget by Source'!$A$5:$I$5,0))-(ROUND(INDEX('Budget by Source'!$A$6:$I$335,MATCH('Payment by Source'!$A42,'Budget by Source'!$A$6:$A$335,0),MATCH(Q$3,'Budget by Source'!$A$5:$I$5,0))/10,0)*10)</f>
        <v>-3</v>
      </c>
      <c r="R42" s="158">
        <f>INDEX('Budget by Source'!$A$6:$I$335,MATCH('Payment by Source'!$A42,'Budget by Source'!$A$6:$A$335,0),MATCH(R$3,'Budget by Source'!$A$5:$I$5,0))-(ROUND(INDEX('Budget by Source'!$A$6:$I$335,MATCH('Payment by Source'!$A42,'Budget by Source'!$A$6:$A$335,0),MATCH(R$3,'Budget by Source'!$A$5:$I$5,0))/10,0)*10)</f>
        <v>2</v>
      </c>
      <c r="S42" s="158">
        <f>INDEX('Budget by Source'!$A$6:$I$335,MATCH('Payment by Source'!$A42,'Budget by Source'!$A$6:$A$335,0),MATCH(S$3,'Budget by Source'!$A$5:$I$5,0))-(ROUND(INDEX('Budget by Source'!$A$6:$I$335,MATCH('Payment by Source'!$A42,'Budget by Source'!$A$6:$A$335,0),MATCH(S$3,'Budget by Source'!$A$5:$I$5,0))/10,0)*10)</f>
        <v>-1</v>
      </c>
      <c r="T42" s="158">
        <f>INDEX('Budget by Source'!$A$6:$I$335,MATCH('Payment by Source'!$A42,'Budget by Source'!$A$6:$A$335,0),MATCH(T$3,'Budget by Source'!$A$5:$I$5,0))-(ROUND(INDEX('Budget by Source'!$A$6:$I$335,MATCH('Payment by Source'!$A42,'Budget by Source'!$A$6:$A$335,0),MATCH(T$3,'Budget by Source'!$A$5:$I$5,0))/10,0)*10)</f>
        <v>1</v>
      </c>
      <c r="U42" s="159">
        <f>INDEX('Budget by Source'!$A$6:$I$335,MATCH('Payment by Source'!$A42,'Budget by Source'!$A$6:$A$335,0),MATCH(U$3,'Budget by Source'!$A$5:$I$5,0))</f>
        <v>1930195</v>
      </c>
      <c r="V42" s="156">
        <f t="shared" si="1"/>
        <v>193020</v>
      </c>
      <c r="W42" s="156">
        <f t="shared" si="2"/>
        <v>1930200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11057</v>
      </c>
      <c r="D43" s="22">
        <f>IF(Notes!$B$2="June",ROUND('Budget by Source'!D43/10,0)+Q43,ROUND('Budget by Source'!D43/10,0))</f>
        <v>34315</v>
      </c>
      <c r="E43" s="22">
        <f>IF(Notes!$B$2="June",ROUND('Budget by Source'!E43/10,0)+R43,ROUND('Budget by Source'!E43/10,0))</f>
        <v>3691</v>
      </c>
      <c r="F43" s="22">
        <f>IF(Notes!$B$2="June",ROUND('Budget by Source'!F43/10,0)+S43,ROUND('Budget by Source'!F43/10,0))</f>
        <v>3456</v>
      </c>
      <c r="G43" s="22">
        <f>IF(Notes!$B$2="June",ROUND('Budget by Source'!G43/10,0)+T43,ROUND('Budget by Source'!G43/10,0))</f>
        <v>18387</v>
      </c>
      <c r="H43" s="22">
        <f t="shared" si="0"/>
        <v>259228</v>
      </c>
      <c r="I43" s="22">
        <f>INDEX(Data[],MATCH($A43,Data[Dist],0),MATCH(I$5,Data[#Headers],0))</f>
        <v>330134</v>
      </c>
      <c r="K43" s="70">
        <f>INDEX('Payment Total'!$A$7:$H$336,MATCH('Payment by Source'!$A43,'Payment Total'!$A$7:$A$336,0),6)-I43</f>
        <v>0</v>
      </c>
      <c r="P43" s="158">
        <f>INDEX('Budget by Source'!$A$6:$I$335,MATCH('Payment by Source'!$A43,'Budget by Source'!$A$6:$A$335,0),MATCH(P$3,'Budget by Source'!$A$5:$I$5,0))-(ROUND(INDEX('Budget by Source'!$A$6:$I$335,MATCH('Payment by Source'!$A43,'Budget by Source'!$A$6:$A$335,0),MATCH(P$3,'Budget by Source'!$A$5:$I$5,0))/10,0)*10)</f>
        <v>-3</v>
      </c>
      <c r="Q43" s="158">
        <f>INDEX('Budget by Source'!$A$6:$I$335,MATCH('Payment by Source'!$A43,'Budget by Source'!$A$6:$A$335,0),MATCH(Q$3,'Budget by Source'!$A$5:$I$5,0))-(ROUND(INDEX('Budget by Source'!$A$6:$I$335,MATCH('Payment by Source'!$A43,'Budget by Source'!$A$6:$A$335,0),MATCH(Q$3,'Budget by Source'!$A$5:$I$5,0))/10,0)*10)</f>
        <v>4</v>
      </c>
      <c r="R43" s="158">
        <f>INDEX('Budget by Source'!$A$6:$I$335,MATCH('Payment by Source'!$A43,'Budget by Source'!$A$6:$A$335,0),MATCH(R$3,'Budget by Source'!$A$5:$I$5,0))-(ROUND(INDEX('Budget by Source'!$A$6:$I$335,MATCH('Payment by Source'!$A43,'Budget by Source'!$A$6:$A$335,0),MATCH(R$3,'Budget by Source'!$A$5:$I$5,0))/10,0)*10)</f>
        <v>3</v>
      </c>
      <c r="S43" s="158">
        <f>INDEX('Budget by Source'!$A$6:$I$335,MATCH('Payment by Source'!$A43,'Budget by Source'!$A$6:$A$335,0),MATCH(S$3,'Budget by Source'!$A$5:$I$5,0))-(ROUND(INDEX('Budget by Source'!$A$6:$I$335,MATCH('Payment by Source'!$A43,'Budget by Source'!$A$6:$A$335,0),MATCH(S$3,'Budget by Source'!$A$5:$I$5,0))/10,0)*10)</f>
        <v>-1</v>
      </c>
      <c r="T43" s="158">
        <f>INDEX('Budget by Source'!$A$6:$I$335,MATCH('Payment by Source'!$A43,'Budget by Source'!$A$6:$A$335,0),MATCH(T$3,'Budget by Source'!$A$5:$I$5,0))-(ROUND(INDEX('Budget by Source'!$A$6:$I$335,MATCH('Payment by Source'!$A43,'Budget by Source'!$A$6:$A$335,0),MATCH(T$3,'Budget by Source'!$A$5:$I$5,0))/10,0)*10)</f>
        <v>2</v>
      </c>
      <c r="U43" s="159">
        <f>INDEX('Budget by Source'!$A$6:$I$335,MATCH('Payment by Source'!$A43,'Budget by Source'!$A$6:$A$335,0),MATCH(U$3,'Budget by Source'!$A$5:$I$5,0))</f>
        <v>2601717</v>
      </c>
      <c r="V43" s="156">
        <f t="shared" si="1"/>
        <v>260172</v>
      </c>
      <c r="W43" s="156">
        <f t="shared" si="2"/>
        <v>2601720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11730</v>
      </c>
      <c r="D44" s="22">
        <f>IF(Notes!$B$2="June",ROUND('Budget by Source'!D44/10,0)+Q44,ROUND('Budget by Source'!D44/10,0))</f>
        <v>29143</v>
      </c>
      <c r="E44" s="22">
        <f>IF(Notes!$B$2="June",ROUND('Budget by Source'!E44/10,0)+R44,ROUND('Budget by Source'!E44/10,0))</f>
        <v>3002</v>
      </c>
      <c r="F44" s="22">
        <f>IF(Notes!$B$2="June",ROUND('Budget by Source'!F44/10,0)+S44,ROUND('Budget by Source'!F44/10,0))</f>
        <v>3174</v>
      </c>
      <c r="G44" s="22">
        <f>IF(Notes!$B$2="June",ROUND('Budget by Source'!G44/10,0)+T44,ROUND('Budget by Source'!G44/10,0))</f>
        <v>15402</v>
      </c>
      <c r="H44" s="22">
        <f t="shared" si="0"/>
        <v>143180</v>
      </c>
      <c r="I44" s="22">
        <f>INDEX(Data[],MATCH($A44,Data[Dist],0),MATCH(I$5,Data[#Headers],0))</f>
        <v>205631</v>
      </c>
      <c r="K44" s="70">
        <f>INDEX('Payment Total'!$A$7:$H$336,MATCH('Payment by Source'!$A44,'Payment Total'!$A$7:$A$336,0),6)-I44</f>
        <v>0</v>
      </c>
      <c r="P44" s="158">
        <f>INDEX('Budget by Source'!$A$6:$I$335,MATCH('Payment by Source'!$A44,'Budget by Source'!$A$6:$A$335,0),MATCH(P$3,'Budget by Source'!$A$5:$I$5,0))-(ROUND(INDEX('Budget by Source'!$A$6:$I$335,MATCH('Payment by Source'!$A44,'Budget by Source'!$A$6:$A$335,0),MATCH(P$3,'Budget by Source'!$A$5:$I$5,0))/10,0)*10)</f>
        <v>0</v>
      </c>
      <c r="Q44" s="158">
        <f>INDEX('Budget by Source'!$A$6:$I$335,MATCH('Payment by Source'!$A44,'Budget by Source'!$A$6:$A$335,0),MATCH(Q$3,'Budget by Source'!$A$5:$I$5,0))-(ROUND(INDEX('Budget by Source'!$A$6:$I$335,MATCH('Payment by Source'!$A44,'Budget by Source'!$A$6:$A$335,0),MATCH(Q$3,'Budget by Source'!$A$5:$I$5,0))/10,0)*10)</f>
        <v>-5</v>
      </c>
      <c r="R44" s="158">
        <f>INDEX('Budget by Source'!$A$6:$I$335,MATCH('Payment by Source'!$A44,'Budget by Source'!$A$6:$A$335,0),MATCH(R$3,'Budget by Source'!$A$5:$I$5,0))-(ROUND(INDEX('Budget by Source'!$A$6:$I$335,MATCH('Payment by Source'!$A44,'Budget by Source'!$A$6:$A$335,0),MATCH(R$3,'Budget by Source'!$A$5:$I$5,0))/10,0)*10)</f>
        <v>-1</v>
      </c>
      <c r="S44" s="158">
        <f>INDEX('Budget by Source'!$A$6:$I$335,MATCH('Payment by Source'!$A44,'Budget by Source'!$A$6:$A$335,0),MATCH(S$3,'Budget by Source'!$A$5:$I$5,0))-(ROUND(INDEX('Budget by Source'!$A$6:$I$335,MATCH('Payment by Source'!$A44,'Budget by Source'!$A$6:$A$335,0),MATCH(S$3,'Budget by Source'!$A$5:$I$5,0))/10,0)*10)</f>
        <v>-1</v>
      </c>
      <c r="T44" s="158">
        <f>INDEX('Budget by Source'!$A$6:$I$335,MATCH('Payment by Source'!$A44,'Budget by Source'!$A$6:$A$335,0),MATCH(T$3,'Budget by Source'!$A$5:$I$5,0))-(ROUND(INDEX('Budget by Source'!$A$6:$I$335,MATCH('Payment by Source'!$A44,'Budget by Source'!$A$6:$A$335,0),MATCH(T$3,'Budget by Source'!$A$5:$I$5,0))/10,0)*10)</f>
        <v>-2</v>
      </c>
      <c r="U44" s="159">
        <f>INDEX('Budget by Source'!$A$6:$I$335,MATCH('Payment by Source'!$A44,'Budget by Source'!$A$6:$A$335,0),MATCH(U$3,'Budget by Source'!$A$5:$I$5,0))</f>
        <v>1439294</v>
      </c>
      <c r="V44" s="156">
        <f t="shared" si="1"/>
        <v>143929</v>
      </c>
      <c r="W44" s="156">
        <f t="shared" si="2"/>
        <v>1439290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61666</v>
      </c>
      <c r="D45" s="22">
        <f>IF(Notes!$B$2="June",ROUND('Budget by Source'!D45/10,0)+Q45,ROUND('Budget by Source'!D45/10,0))</f>
        <v>249642</v>
      </c>
      <c r="E45" s="22">
        <f>IF(Notes!$B$2="June",ROUND('Budget by Source'!E45/10,0)+R45,ROUND('Budget by Source'!E45/10,0))</f>
        <v>34245</v>
      </c>
      <c r="F45" s="22">
        <f>IF(Notes!$B$2="June",ROUND('Budget by Source'!F45/10,0)+S45,ROUND('Budget by Source'!F45/10,0))</f>
        <v>27434</v>
      </c>
      <c r="G45" s="22">
        <f>IF(Notes!$B$2="June",ROUND('Budget by Source'!G45/10,0)+T45,ROUND('Budget by Source'!G45/10,0))</f>
        <v>142969</v>
      </c>
      <c r="H45" s="22">
        <f t="shared" si="0"/>
        <v>2242911</v>
      </c>
      <c r="I45" s="22">
        <f>INDEX(Data[],MATCH($A45,Data[Dist],0),MATCH(I$5,Data[#Headers],0))</f>
        <v>2758867</v>
      </c>
      <c r="K45" s="70">
        <f>INDEX('Payment Total'!$A$7:$H$336,MATCH('Payment by Source'!$A45,'Payment Total'!$A$7:$A$336,0),6)-I45</f>
        <v>0</v>
      </c>
      <c r="P45" s="158">
        <f>INDEX('Budget by Source'!$A$6:$I$335,MATCH('Payment by Source'!$A45,'Budget by Source'!$A$6:$A$335,0),MATCH(P$3,'Budget by Source'!$A$5:$I$5,0))-(ROUND(INDEX('Budget by Source'!$A$6:$I$335,MATCH('Payment by Source'!$A45,'Budget by Source'!$A$6:$A$335,0),MATCH(P$3,'Budget by Source'!$A$5:$I$5,0))/10,0)*10)</f>
        <v>0</v>
      </c>
      <c r="Q45" s="158">
        <f>INDEX('Budget by Source'!$A$6:$I$335,MATCH('Payment by Source'!$A45,'Budget by Source'!$A$6:$A$335,0),MATCH(Q$3,'Budget by Source'!$A$5:$I$5,0))-(ROUND(INDEX('Budget by Source'!$A$6:$I$335,MATCH('Payment by Source'!$A45,'Budget by Source'!$A$6:$A$335,0),MATCH(Q$3,'Budget by Source'!$A$5:$I$5,0))/10,0)*10)</f>
        <v>3</v>
      </c>
      <c r="R45" s="158">
        <f>INDEX('Budget by Source'!$A$6:$I$335,MATCH('Payment by Source'!$A45,'Budget by Source'!$A$6:$A$335,0),MATCH(R$3,'Budget by Source'!$A$5:$I$5,0))-(ROUND(INDEX('Budget by Source'!$A$6:$I$335,MATCH('Payment by Source'!$A45,'Budget by Source'!$A$6:$A$335,0),MATCH(R$3,'Budget by Source'!$A$5:$I$5,0))/10,0)*10)</f>
        <v>0</v>
      </c>
      <c r="S45" s="158">
        <f>INDEX('Budget by Source'!$A$6:$I$335,MATCH('Payment by Source'!$A45,'Budget by Source'!$A$6:$A$335,0),MATCH(S$3,'Budget by Source'!$A$5:$I$5,0))-(ROUND(INDEX('Budget by Source'!$A$6:$I$335,MATCH('Payment by Source'!$A45,'Budget by Source'!$A$6:$A$335,0),MATCH(S$3,'Budget by Source'!$A$5:$I$5,0))/10,0)*10)</f>
        <v>0</v>
      </c>
      <c r="T45" s="158">
        <f>INDEX('Budget by Source'!$A$6:$I$335,MATCH('Payment by Source'!$A45,'Budget by Source'!$A$6:$A$335,0),MATCH(T$3,'Budget by Source'!$A$5:$I$5,0))-(ROUND(INDEX('Budget by Source'!$A$6:$I$335,MATCH('Payment by Source'!$A45,'Budget by Source'!$A$6:$A$335,0),MATCH(T$3,'Budget by Source'!$A$5:$I$5,0))/10,0)*10)</f>
        <v>-4</v>
      </c>
      <c r="U45" s="159">
        <f>INDEX('Budget by Source'!$A$6:$I$335,MATCH('Payment by Source'!$A45,'Budget by Source'!$A$6:$A$335,0),MATCH(U$3,'Budget by Source'!$A$5:$I$5,0))</f>
        <v>24060342</v>
      </c>
      <c r="V45" s="156">
        <f t="shared" si="1"/>
        <v>2406034</v>
      </c>
      <c r="W45" s="156">
        <f t="shared" si="2"/>
        <v>24060340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10720</v>
      </c>
      <c r="D46" s="22">
        <f>IF(Notes!$B$2="June",ROUND('Budget by Source'!D46/10,0)+Q46,ROUND('Budget by Source'!D46/10,0))</f>
        <v>31269</v>
      </c>
      <c r="E46" s="22">
        <f>IF(Notes!$B$2="June",ROUND('Budget by Source'!E46/10,0)+R46,ROUND('Budget by Source'!E46/10,0))</f>
        <v>3227</v>
      </c>
      <c r="F46" s="22">
        <f>IF(Notes!$B$2="June",ROUND('Budget by Source'!F46/10,0)+S46,ROUND('Budget by Source'!F46/10,0))</f>
        <v>3153</v>
      </c>
      <c r="G46" s="22">
        <f>IF(Notes!$B$2="June",ROUND('Budget by Source'!G46/10,0)+T46,ROUND('Budget by Source'!G46/10,0))</f>
        <v>16222</v>
      </c>
      <c r="H46" s="22">
        <f t="shared" si="0"/>
        <v>110391</v>
      </c>
      <c r="I46" s="22">
        <f>INDEX(Data[],MATCH($A46,Data[Dist],0),MATCH(I$5,Data[#Headers],0))</f>
        <v>174982</v>
      </c>
      <c r="K46" s="70">
        <f>INDEX('Payment Total'!$A$7:$H$336,MATCH('Payment by Source'!$A46,'Payment Total'!$A$7:$A$336,0),6)-I46</f>
        <v>0</v>
      </c>
      <c r="P46" s="158">
        <f>INDEX('Budget by Source'!$A$6:$I$335,MATCH('Payment by Source'!$A46,'Budget by Source'!$A$6:$A$335,0),MATCH(P$3,'Budget by Source'!$A$5:$I$5,0))-(ROUND(INDEX('Budget by Source'!$A$6:$I$335,MATCH('Payment by Source'!$A46,'Budget by Source'!$A$6:$A$335,0),MATCH(P$3,'Budget by Source'!$A$5:$I$5,0))/10,0)*10)</f>
        <v>-5</v>
      </c>
      <c r="Q46" s="158">
        <f>INDEX('Budget by Source'!$A$6:$I$335,MATCH('Payment by Source'!$A46,'Budget by Source'!$A$6:$A$335,0),MATCH(Q$3,'Budget by Source'!$A$5:$I$5,0))-(ROUND(INDEX('Budget by Source'!$A$6:$I$335,MATCH('Payment by Source'!$A46,'Budget by Source'!$A$6:$A$335,0),MATCH(Q$3,'Budget by Source'!$A$5:$I$5,0))/10,0)*10)</f>
        <v>4</v>
      </c>
      <c r="R46" s="158">
        <f>INDEX('Budget by Source'!$A$6:$I$335,MATCH('Payment by Source'!$A46,'Budget by Source'!$A$6:$A$335,0),MATCH(R$3,'Budget by Source'!$A$5:$I$5,0))-(ROUND(INDEX('Budget by Source'!$A$6:$I$335,MATCH('Payment by Source'!$A46,'Budget by Source'!$A$6:$A$335,0),MATCH(R$3,'Budget by Source'!$A$5:$I$5,0))/10,0)*10)</f>
        <v>4</v>
      </c>
      <c r="S46" s="158">
        <f>INDEX('Budget by Source'!$A$6:$I$335,MATCH('Payment by Source'!$A46,'Budget by Source'!$A$6:$A$335,0),MATCH(S$3,'Budget by Source'!$A$5:$I$5,0))-(ROUND(INDEX('Budget by Source'!$A$6:$I$335,MATCH('Payment by Source'!$A46,'Budget by Source'!$A$6:$A$335,0),MATCH(S$3,'Budget by Source'!$A$5:$I$5,0))/10,0)*10)</f>
        <v>3</v>
      </c>
      <c r="T46" s="158">
        <f>INDEX('Budget by Source'!$A$6:$I$335,MATCH('Payment by Source'!$A46,'Budget by Source'!$A$6:$A$335,0),MATCH(T$3,'Budget by Source'!$A$5:$I$5,0))-(ROUND(INDEX('Budget by Source'!$A$6:$I$335,MATCH('Payment by Source'!$A46,'Budget by Source'!$A$6:$A$335,0),MATCH(T$3,'Budget by Source'!$A$5:$I$5,0))/10,0)*10)</f>
        <v>-2</v>
      </c>
      <c r="U46" s="159">
        <f>INDEX('Budget by Source'!$A$6:$I$335,MATCH('Payment by Source'!$A46,'Budget by Source'!$A$6:$A$335,0),MATCH(U$3,'Budget by Source'!$A$5:$I$5,0))</f>
        <v>1112236</v>
      </c>
      <c r="V46" s="156">
        <f t="shared" si="1"/>
        <v>111224</v>
      </c>
      <c r="W46" s="156">
        <f t="shared" si="2"/>
        <v>1112240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5701</v>
      </c>
      <c r="D47" s="22">
        <f>IF(Notes!$B$2="June",ROUND('Budget by Source'!D47/10,0)+Q47,ROUND('Budget by Source'!D47/10,0))</f>
        <v>16981</v>
      </c>
      <c r="E47" s="22">
        <f>IF(Notes!$B$2="June",ROUND('Budget by Source'!E47/10,0)+R47,ROUND('Budget by Source'!E47/10,0))</f>
        <v>1916</v>
      </c>
      <c r="F47" s="22">
        <f>IF(Notes!$B$2="June",ROUND('Budget by Source'!F47/10,0)+S47,ROUND('Budget by Source'!F47/10,0))</f>
        <v>1866</v>
      </c>
      <c r="G47" s="22">
        <f>IF(Notes!$B$2="June",ROUND('Budget by Source'!G47/10,0)+T47,ROUND('Budget by Source'!G47/10,0))</f>
        <v>8442</v>
      </c>
      <c r="H47" s="22">
        <f t="shared" si="0"/>
        <v>121480</v>
      </c>
      <c r="I47" s="22">
        <f>INDEX(Data[],MATCH($A47,Data[Dist],0),MATCH(I$5,Data[#Headers],0))</f>
        <v>156386</v>
      </c>
      <c r="K47" s="70">
        <f>INDEX('Payment Total'!$A$7:$H$336,MATCH('Payment by Source'!$A47,'Payment Total'!$A$7:$A$336,0),6)-I47</f>
        <v>0</v>
      </c>
      <c r="P47" s="158">
        <f>INDEX('Budget by Source'!$A$6:$I$335,MATCH('Payment by Source'!$A47,'Budget by Source'!$A$6:$A$335,0),MATCH(P$3,'Budget by Source'!$A$5:$I$5,0))-(ROUND(INDEX('Budget by Source'!$A$6:$I$335,MATCH('Payment by Source'!$A47,'Budget by Source'!$A$6:$A$335,0),MATCH(P$3,'Budget by Source'!$A$5:$I$5,0))/10,0)*10)</f>
        <v>4</v>
      </c>
      <c r="Q47" s="158">
        <f>INDEX('Budget by Source'!$A$6:$I$335,MATCH('Payment by Source'!$A47,'Budget by Source'!$A$6:$A$335,0),MATCH(Q$3,'Budget by Source'!$A$5:$I$5,0))-(ROUND(INDEX('Budget by Source'!$A$6:$I$335,MATCH('Payment by Source'!$A47,'Budget by Source'!$A$6:$A$335,0),MATCH(Q$3,'Budget by Source'!$A$5:$I$5,0))/10,0)*10)</f>
        <v>-3</v>
      </c>
      <c r="R47" s="158">
        <f>INDEX('Budget by Source'!$A$6:$I$335,MATCH('Payment by Source'!$A47,'Budget by Source'!$A$6:$A$335,0),MATCH(R$3,'Budget by Source'!$A$5:$I$5,0))-(ROUND(INDEX('Budget by Source'!$A$6:$I$335,MATCH('Payment by Source'!$A47,'Budget by Source'!$A$6:$A$335,0),MATCH(R$3,'Budget by Source'!$A$5:$I$5,0))/10,0)*10)</f>
        <v>1</v>
      </c>
      <c r="S47" s="158">
        <f>INDEX('Budget by Source'!$A$6:$I$335,MATCH('Payment by Source'!$A47,'Budget by Source'!$A$6:$A$335,0),MATCH(S$3,'Budget by Source'!$A$5:$I$5,0))-(ROUND(INDEX('Budget by Source'!$A$6:$I$335,MATCH('Payment by Source'!$A47,'Budget by Source'!$A$6:$A$335,0),MATCH(S$3,'Budget by Source'!$A$5:$I$5,0))/10,0)*10)</f>
        <v>-5</v>
      </c>
      <c r="T47" s="158">
        <f>INDEX('Budget by Source'!$A$6:$I$335,MATCH('Payment by Source'!$A47,'Budget by Source'!$A$6:$A$335,0),MATCH(T$3,'Budget by Source'!$A$5:$I$5,0))-(ROUND(INDEX('Budget by Source'!$A$6:$I$335,MATCH('Payment by Source'!$A47,'Budget by Source'!$A$6:$A$335,0),MATCH(T$3,'Budget by Source'!$A$5:$I$5,0))/10,0)*10)</f>
        <v>-2</v>
      </c>
      <c r="U47" s="159">
        <f>INDEX('Budget by Source'!$A$6:$I$335,MATCH('Payment by Source'!$A47,'Budget by Source'!$A$6:$A$335,0),MATCH(U$3,'Budget by Source'!$A$5:$I$5,0))</f>
        <v>1219028</v>
      </c>
      <c r="V47" s="156">
        <f t="shared" si="1"/>
        <v>121903</v>
      </c>
      <c r="W47" s="156">
        <f t="shared" si="2"/>
        <v>1219030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9720</v>
      </c>
      <c r="D48" s="22">
        <f>IF(Notes!$B$2="June",ROUND('Budget by Source'!D48/10,0)+Q48,ROUND('Budget by Source'!D48/10,0))</f>
        <v>28505</v>
      </c>
      <c r="E48" s="22">
        <f>IF(Notes!$B$2="June",ROUND('Budget by Source'!E48/10,0)+R48,ROUND('Budget by Source'!E48/10,0))</f>
        <v>3271</v>
      </c>
      <c r="F48" s="22">
        <f>IF(Notes!$B$2="June",ROUND('Budget by Source'!F48/10,0)+S48,ROUND('Budget by Source'!F48/10,0))</f>
        <v>3118</v>
      </c>
      <c r="G48" s="22">
        <f>IF(Notes!$B$2="June",ROUND('Budget by Source'!G48/10,0)+T48,ROUND('Budget by Source'!G48/10,0))</f>
        <v>14506</v>
      </c>
      <c r="H48" s="22">
        <f t="shared" si="0"/>
        <v>191403</v>
      </c>
      <c r="I48" s="22">
        <f>INDEX(Data[],MATCH($A48,Data[Dist],0),MATCH(I$5,Data[#Headers],0))</f>
        <v>250523</v>
      </c>
      <c r="K48" s="70">
        <f>INDEX('Payment Total'!$A$7:$H$336,MATCH('Payment by Source'!$A48,'Payment Total'!$A$7:$A$336,0),6)-I48</f>
        <v>0</v>
      </c>
      <c r="P48" s="158">
        <f>INDEX('Budget by Source'!$A$6:$I$335,MATCH('Payment by Source'!$A48,'Budget by Source'!$A$6:$A$335,0),MATCH(P$3,'Budget by Source'!$A$5:$I$5,0))-(ROUND(INDEX('Budget by Source'!$A$6:$I$335,MATCH('Payment by Source'!$A48,'Budget by Source'!$A$6:$A$335,0),MATCH(P$3,'Budget by Source'!$A$5:$I$5,0))/10,0)*10)</f>
        <v>1</v>
      </c>
      <c r="Q48" s="158">
        <f>INDEX('Budget by Source'!$A$6:$I$335,MATCH('Payment by Source'!$A48,'Budget by Source'!$A$6:$A$335,0),MATCH(Q$3,'Budget by Source'!$A$5:$I$5,0))-(ROUND(INDEX('Budget by Source'!$A$6:$I$335,MATCH('Payment by Source'!$A48,'Budget by Source'!$A$6:$A$335,0),MATCH(Q$3,'Budget by Source'!$A$5:$I$5,0))/10,0)*10)</f>
        <v>-4</v>
      </c>
      <c r="R48" s="158">
        <f>INDEX('Budget by Source'!$A$6:$I$335,MATCH('Payment by Source'!$A48,'Budget by Source'!$A$6:$A$335,0),MATCH(R$3,'Budget by Source'!$A$5:$I$5,0))-(ROUND(INDEX('Budget by Source'!$A$6:$I$335,MATCH('Payment by Source'!$A48,'Budget by Source'!$A$6:$A$335,0),MATCH(R$3,'Budget by Source'!$A$5:$I$5,0))/10,0)*10)</f>
        <v>-3</v>
      </c>
      <c r="S48" s="158">
        <f>INDEX('Budget by Source'!$A$6:$I$335,MATCH('Payment by Source'!$A48,'Budget by Source'!$A$6:$A$335,0),MATCH(S$3,'Budget by Source'!$A$5:$I$5,0))-(ROUND(INDEX('Budget by Source'!$A$6:$I$335,MATCH('Payment by Source'!$A48,'Budget by Source'!$A$6:$A$335,0),MATCH(S$3,'Budget by Source'!$A$5:$I$5,0))/10,0)*10)</f>
        <v>2</v>
      </c>
      <c r="T48" s="158">
        <f>INDEX('Budget by Source'!$A$6:$I$335,MATCH('Payment by Source'!$A48,'Budget by Source'!$A$6:$A$335,0),MATCH(T$3,'Budget by Source'!$A$5:$I$5,0))-(ROUND(INDEX('Budget by Source'!$A$6:$I$335,MATCH('Payment by Source'!$A48,'Budget by Source'!$A$6:$A$335,0),MATCH(T$3,'Budget by Source'!$A$5:$I$5,0))/10,0)*10)</f>
        <v>1</v>
      </c>
      <c r="U48" s="159">
        <f>INDEX('Budget by Source'!$A$6:$I$335,MATCH('Payment by Source'!$A48,'Budget by Source'!$A$6:$A$335,0),MATCH(U$3,'Budget by Source'!$A$5:$I$5,0))</f>
        <v>1921305</v>
      </c>
      <c r="V48" s="156">
        <f t="shared" si="1"/>
        <v>192131</v>
      </c>
      <c r="W48" s="156">
        <f t="shared" si="2"/>
        <v>1921310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17094</v>
      </c>
      <c r="D49" s="22">
        <f>IF(Notes!$B$2="June",ROUND('Budget by Source'!D49/10,0)+Q49,ROUND('Budget by Source'!D49/10,0))</f>
        <v>50523</v>
      </c>
      <c r="E49" s="22">
        <f>IF(Notes!$B$2="June",ROUND('Budget by Source'!E49/10,0)+R49,ROUND('Budget by Source'!E49/10,0))</f>
        <v>6298</v>
      </c>
      <c r="F49" s="22">
        <f>IF(Notes!$B$2="June",ROUND('Budget by Source'!F49/10,0)+S49,ROUND('Budget by Source'!F49/10,0))</f>
        <v>5292</v>
      </c>
      <c r="G49" s="22">
        <f>IF(Notes!$B$2="June",ROUND('Budget by Source'!G49/10,0)+T49,ROUND('Budget by Source'!G49/10,0))</f>
        <v>27840</v>
      </c>
      <c r="H49" s="22">
        <f t="shared" si="0"/>
        <v>372359</v>
      </c>
      <c r="I49" s="22">
        <f>INDEX(Data[],MATCH($A49,Data[Dist],0),MATCH(I$5,Data[#Headers],0))</f>
        <v>479406</v>
      </c>
      <c r="K49" s="70">
        <f>INDEX('Payment Total'!$A$7:$H$336,MATCH('Payment by Source'!$A49,'Payment Total'!$A$7:$A$336,0),6)-I49</f>
        <v>0</v>
      </c>
      <c r="P49" s="158">
        <f>INDEX('Budget by Source'!$A$6:$I$335,MATCH('Payment by Source'!$A49,'Budget by Source'!$A$6:$A$335,0),MATCH(P$3,'Budget by Source'!$A$5:$I$5,0))-(ROUND(INDEX('Budget by Source'!$A$6:$I$335,MATCH('Payment by Source'!$A49,'Budget by Source'!$A$6:$A$335,0),MATCH(P$3,'Budget by Source'!$A$5:$I$5,0))/10,0)*10)</f>
        <v>2</v>
      </c>
      <c r="Q49" s="158">
        <f>INDEX('Budget by Source'!$A$6:$I$335,MATCH('Payment by Source'!$A49,'Budget by Source'!$A$6:$A$335,0),MATCH(Q$3,'Budget by Source'!$A$5:$I$5,0))-(ROUND(INDEX('Budget by Source'!$A$6:$I$335,MATCH('Payment by Source'!$A49,'Budget by Source'!$A$6:$A$335,0),MATCH(Q$3,'Budget by Source'!$A$5:$I$5,0))/10,0)*10)</f>
        <v>-5</v>
      </c>
      <c r="R49" s="158">
        <f>INDEX('Budget by Source'!$A$6:$I$335,MATCH('Payment by Source'!$A49,'Budget by Source'!$A$6:$A$335,0),MATCH(R$3,'Budget by Source'!$A$5:$I$5,0))-(ROUND(INDEX('Budget by Source'!$A$6:$I$335,MATCH('Payment by Source'!$A49,'Budget by Source'!$A$6:$A$335,0),MATCH(R$3,'Budget by Source'!$A$5:$I$5,0))/10,0)*10)</f>
        <v>1</v>
      </c>
      <c r="S49" s="158">
        <f>INDEX('Budget by Source'!$A$6:$I$335,MATCH('Payment by Source'!$A49,'Budget by Source'!$A$6:$A$335,0),MATCH(S$3,'Budget by Source'!$A$5:$I$5,0))-(ROUND(INDEX('Budget by Source'!$A$6:$I$335,MATCH('Payment by Source'!$A49,'Budget by Source'!$A$6:$A$335,0),MATCH(S$3,'Budget by Source'!$A$5:$I$5,0))/10,0)*10)</f>
        <v>-1</v>
      </c>
      <c r="T49" s="158">
        <f>INDEX('Budget by Source'!$A$6:$I$335,MATCH('Payment by Source'!$A49,'Budget by Source'!$A$6:$A$335,0),MATCH(T$3,'Budget by Source'!$A$5:$I$5,0))-(ROUND(INDEX('Budget by Source'!$A$6:$I$335,MATCH('Payment by Source'!$A49,'Budget by Source'!$A$6:$A$335,0),MATCH(T$3,'Budget by Source'!$A$5:$I$5,0))/10,0)*10)</f>
        <v>0</v>
      </c>
      <c r="U49" s="159">
        <f>INDEX('Budget by Source'!$A$6:$I$335,MATCH('Payment by Source'!$A49,'Budget by Source'!$A$6:$A$335,0),MATCH(U$3,'Budget by Source'!$A$5:$I$5,0))</f>
        <v>3737532</v>
      </c>
      <c r="V49" s="156">
        <f t="shared" si="1"/>
        <v>373753</v>
      </c>
      <c r="W49" s="156">
        <f t="shared" si="2"/>
        <v>3737530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25805</v>
      </c>
      <c r="D50" s="22">
        <f>IF(Notes!$B$2="June",ROUND('Budget by Source'!D50/10,0)+Q50,ROUND('Budget by Source'!D50/10,0))</f>
        <v>34942</v>
      </c>
      <c r="E50" s="22">
        <f>IF(Notes!$B$2="June",ROUND('Budget by Source'!E50/10,0)+R50,ROUND('Budget by Source'!E50/10,0))</f>
        <v>4345</v>
      </c>
      <c r="F50" s="22">
        <f>IF(Notes!$B$2="June",ROUND('Budget by Source'!F50/10,0)+S50,ROUND('Budget by Source'!F50/10,0))</f>
        <v>3259</v>
      </c>
      <c r="G50" s="22">
        <f>IF(Notes!$B$2="June",ROUND('Budget by Source'!G50/10,0)+T50,ROUND('Budget by Source'!G50/10,0))</f>
        <v>18734</v>
      </c>
      <c r="H50" s="22">
        <f t="shared" si="0"/>
        <v>302492</v>
      </c>
      <c r="I50" s="22">
        <f>INDEX(Data[],MATCH($A50,Data[Dist],0),MATCH(I$5,Data[#Headers],0))</f>
        <v>389577</v>
      </c>
      <c r="K50" s="70">
        <f>INDEX('Payment Total'!$A$7:$H$336,MATCH('Payment by Source'!$A50,'Payment Total'!$A$7:$A$336,0),6)-I50</f>
        <v>0</v>
      </c>
      <c r="P50" s="158">
        <f>INDEX('Budget by Source'!$A$6:$I$335,MATCH('Payment by Source'!$A50,'Budget by Source'!$A$6:$A$335,0),MATCH(P$3,'Budget by Source'!$A$5:$I$5,0))-(ROUND(INDEX('Budget by Source'!$A$6:$I$335,MATCH('Payment by Source'!$A50,'Budget by Source'!$A$6:$A$335,0),MATCH(P$3,'Budget by Source'!$A$5:$I$5,0))/10,0)*10)</f>
        <v>-1</v>
      </c>
      <c r="Q50" s="158">
        <f>INDEX('Budget by Source'!$A$6:$I$335,MATCH('Payment by Source'!$A50,'Budget by Source'!$A$6:$A$335,0),MATCH(Q$3,'Budget by Source'!$A$5:$I$5,0))-(ROUND(INDEX('Budget by Source'!$A$6:$I$335,MATCH('Payment by Source'!$A50,'Budget by Source'!$A$6:$A$335,0),MATCH(Q$3,'Budget by Source'!$A$5:$I$5,0))/10,0)*10)</f>
        <v>-1</v>
      </c>
      <c r="R50" s="158">
        <f>INDEX('Budget by Source'!$A$6:$I$335,MATCH('Payment by Source'!$A50,'Budget by Source'!$A$6:$A$335,0),MATCH(R$3,'Budget by Source'!$A$5:$I$5,0))-(ROUND(INDEX('Budget by Source'!$A$6:$I$335,MATCH('Payment by Source'!$A50,'Budget by Source'!$A$6:$A$335,0),MATCH(R$3,'Budget by Source'!$A$5:$I$5,0))/10,0)*10)</f>
        <v>1</v>
      </c>
      <c r="S50" s="158">
        <f>INDEX('Budget by Source'!$A$6:$I$335,MATCH('Payment by Source'!$A50,'Budget by Source'!$A$6:$A$335,0),MATCH(S$3,'Budget by Source'!$A$5:$I$5,0))-(ROUND(INDEX('Budget by Source'!$A$6:$I$335,MATCH('Payment by Source'!$A50,'Budget by Source'!$A$6:$A$335,0),MATCH(S$3,'Budget by Source'!$A$5:$I$5,0))/10,0)*10)</f>
        <v>3</v>
      </c>
      <c r="T50" s="158">
        <f>INDEX('Budget by Source'!$A$6:$I$335,MATCH('Payment by Source'!$A50,'Budget by Source'!$A$6:$A$335,0),MATCH(T$3,'Budget by Source'!$A$5:$I$5,0))-(ROUND(INDEX('Budget by Source'!$A$6:$I$335,MATCH('Payment by Source'!$A50,'Budget by Source'!$A$6:$A$335,0),MATCH(T$3,'Budget by Source'!$A$5:$I$5,0))/10,0)*10)</f>
        <v>3</v>
      </c>
      <c r="U50" s="159">
        <f>INDEX('Budget by Source'!$A$6:$I$335,MATCH('Payment by Source'!$A50,'Budget by Source'!$A$6:$A$335,0),MATCH(U$3,'Budget by Source'!$A$5:$I$5,0))</f>
        <v>3034512</v>
      </c>
      <c r="V50" s="156">
        <f t="shared" si="1"/>
        <v>303451</v>
      </c>
      <c r="W50" s="156">
        <f t="shared" si="2"/>
        <v>3034510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34852</v>
      </c>
      <c r="D51" s="22">
        <f>IF(Notes!$B$2="June",ROUND('Budget by Source'!D51/10,0)+Q51,ROUND('Budget by Source'!D51/10,0))</f>
        <v>109349</v>
      </c>
      <c r="E51" s="22">
        <f>IF(Notes!$B$2="June",ROUND('Budget by Source'!E51/10,0)+R51,ROUND('Budget by Source'!E51/10,0))</f>
        <v>13330</v>
      </c>
      <c r="F51" s="22">
        <f>IF(Notes!$B$2="June",ROUND('Budget by Source'!F51/10,0)+S51,ROUND('Budget by Source'!F51/10,0))</f>
        <v>11164</v>
      </c>
      <c r="G51" s="22">
        <f>IF(Notes!$B$2="June",ROUND('Budget by Source'!G51/10,0)+T51,ROUND('Budget by Source'!G51/10,0))</f>
        <v>63460</v>
      </c>
      <c r="H51" s="22">
        <f t="shared" si="0"/>
        <v>1132354</v>
      </c>
      <c r="I51" s="22">
        <f>INDEX(Data[],MATCH($A51,Data[Dist],0),MATCH(I$5,Data[#Headers],0))</f>
        <v>1364509</v>
      </c>
      <c r="K51" s="70">
        <f>INDEX('Payment Total'!$A$7:$H$336,MATCH('Payment by Source'!$A51,'Payment Total'!$A$7:$A$336,0),6)-I51</f>
        <v>0</v>
      </c>
      <c r="P51" s="158">
        <f>INDEX('Budget by Source'!$A$6:$I$335,MATCH('Payment by Source'!$A51,'Budget by Source'!$A$6:$A$335,0),MATCH(P$3,'Budget by Source'!$A$5:$I$5,0))-(ROUND(INDEX('Budget by Source'!$A$6:$I$335,MATCH('Payment by Source'!$A51,'Budget by Source'!$A$6:$A$335,0),MATCH(P$3,'Budget by Source'!$A$5:$I$5,0))/10,0)*10)</f>
        <v>-3</v>
      </c>
      <c r="Q51" s="158">
        <f>INDEX('Budget by Source'!$A$6:$I$335,MATCH('Payment by Source'!$A51,'Budget by Source'!$A$6:$A$335,0),MATCH(Q$3,'Budget by Source'!$A$5:$I$5,0))-(ROUND(INDEX('Budget by Source'!$A$6:$I$335,MATCH('Payment by Source'!$A51,'Budget by Source'!$A$6:$A$335,0),MATCH(Q$3,'Budget by Source'!$A$5:$I$5,0))/10,0)*10)</f>
        <v>-4</v>
      </c>
      <c r="R51" s="158">
        <f>INDEX('Budget by Source'!$A$6:$I$335,MATCH('Payment by Source'!$A51,'Budget by Source'!$A$6:$A$335,0),MATCH(R$3,'Budget by Source'!$A$5:$I$5,0))-(ROUND(INDEX('Budget by Source'!$A$6:$I$335,MATCH('Payment by Source'!$A51,'Budget by Source'!$A$6:$A$335,0),MATCH(R$3,'Budget by Source'!$A$5:$I$5,0))/10,0)*10)</f>
        <v>-2</v>
      </c>
      <c r="S51" s="158">
        <f>INDEX('Budget by Source'!$A$6:$I$335,MATCH('Payment by Source'!$A51,'Budget by Source'!$A$6:$A$335,0),MATCH(S$3,'Budget by Source'!$A$5:$I$5,0))-(ROUND(INDEX('Budget by Source'!$A$6:$I$335,MATCH('Payment by Source'!$A51,'Budget by Source'!$A$6:$A$335,0),MATCH(S$3,'Budget by Source'!$A$5:$I$5,0))/10,0)*10)</f>
        <v>-5</v>
      </c>
      <c r="T51" s="158">
        <f>INDEX('Budget by Source'!$A$6:$I$335,MATCH('Payment by Source'!$A51,'Budget by Source'!$A$6:$A$335,0),MATCH(T$3,'Budget by Source'!$A$5:$I$5,0))-(ROUND(INDEX('Budget by Source'!$A$6:$I$335,MATCH('Payment by Source'!$A51,'Budget by Source'!$A$6:$A$335,0),MATCH(T$3,'Budget by Source'!$A$5:$I$5,0))/10,0)*10)</f>
        <v>-2</v>
      </c>
      <c r="U51" s="159">
        <f>INDEX('Budget by Source'!$A$6:$I$335,MATCH('Payment by Source'!$A51,'Budget by Source'!$A$6:$A$335,0),MATCH(U$3,'Budget by Source'!$A$5:$I$5,0))</f>
        <v>11355761</v>
      </c>
      <c r="V51" s="156">
        <f t="shared" si="1"/>
        <v>1135576</v>
      </c>
      <c r="W51" s="156">
        <f t="shared" si="2"/>
        <v>11355760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62667</v>
      </c>
      <c r="D52" s="22">
        <f>IF(Notes!$B$2="June",ROUND('Budget by Source'!D52/10,0)+Q52,ROUND('Budget by Source'!D52/10,0))</f>
        <v>95618</v>
      </c>
      <c r="E52" s="22">
        <f>IF(Notes!$B$2="June",ROUND('Budget by Source'!E52/10,0)+R52,ROUND('Budget by Source'!E52/10,0))</f>
        <v>11081</v>
      </c>
      <c r="F52" s="22">
        <f>IF(Notes!$B$2="June",ROUND('Budget by Source'!F52/10,0)+S52,ROUND('Budget by Source'!F52/10,0))</f>
        <v>11001</v>
      </c>
      <c r="G52" s="22">
        <f>IF(Notes!$B$2="June",ROUND('Budget by Source'!G52/10,0)+T52,ROUND('Budget by Source'!G52/10,0))</f>
        <v>55540</v>
      </c>
      <c r="H52" s="22">
        <f t="shared" si="0"/>
        <v>585528</v>
      </c>
      <c r="I52" s="22">
        <f>INDEX(Data[],MATCH($A52,Data[Dist],0),MATCH(I$5,Data[#Headers],0))</f>
        <v>821435</v>
      </c>
      <c r="K52" s="70">
        <f>INDEX('Payment Total'!$A$7:$H$336,MATCH('Payment by Source'!$A52,'Payment Total'!$A$7:$A$336,0),6)-I52</f>
        <v>0</v>
      </c>
      <c r="P52" s="158">
        <f>INDEX('Budget by Source'!$A$6:$I$335,MATCH('Payment by Source'!$A52,'Budget by Source'!$A$6:$A$335,0),MATCH(P$3,'Budget by Source'!$A$5:$I$5,0))-(ROUND(INDEX('Budget by Source'!$A$6:$I$335,MATCH('Payment by Source'!$A52,'Budget by Source'!$A$6:$A$335,0),MATCH(P$3,'Budget by Source'!$A$5:$I$5,0))/10,0)*10)</f>
        <v>-5</v>
      </c>
      <c r="Q52" s="158">
        <f>INDEX('Budget by Source'!$A$6:$I$335,MATCH('Payment by Source'!$A52,'Budget by Source'!$A$6:$A$335,0),MATCH(Q$3,'Budget by Source'!$A$5:$I$5,0))-(ROUND(INDEX('Budget by Source'!$A$6:$I$335,MATCH('Payment by Source'!$A52,'Budget by Source'!$A$6:$A$335,0),MATCH(Q$3,'Budget by Source'!$A$5:$I$5,0))/10,0)*10)</f>
        <v>1</v>
      </c>
      <c r="R52" s="158">
        <f>INDEX('Budget by Source'!$A$6:$I$335,MATCH('Payment by Source'!$A52,'Budget by Source'!$A$6:$A$335,0),MATCH(R$3,'Budget by Source'!$A$5:$I$5,0))-(ROUND(INDEX('Budget by Source'!$A$6:$I$335,MATCH('Payment by Source'!$A52,'Budget by Source'!$A$6:$A$335,0),MATCH(R$3,'Budget by Source'!$A$5:$I$5,0))/10,0)*10)</f>
        <v>0</v>
      </c>
      <c r="S52" s="158">
        <f>INDEX('Budget by Source'!$A$6:$I$335,MATCH('Payment by Source'!$A52,'Budget by Source'!$A$6:$A$335,0),MATCH(S$3,'Budget by Source'!$A$5:$I$5,0))-(ROUND(INDEX('Budget by Source'!$A$6:$I$335,MATCH('Payment by Source'!$A52,'Budget by Source'!$A$6:$A$335,0),MATCH(S$3,'Budget by Source'!$A$5:$I$5,0))/10,0)*10)</f>
        <v>0</v>
      </c>
      <c r="T52" s="158">
        <f>INDEX('Budget by Source'!$A$6:$I$335,MATCH('Payment by Source'!$A52,'Budget by Source'!$A$6:$A$335,0),MATCH(T$3,'Budget by Source'!$A$5:$I$5,0))-(ROUND(INDEX('Budget by Source'!$A$6:$I$335,MATCH('Payment by Source'!$A52,'Budget by Source'!$A$6:$A$335,0),MATCH(T$3,'Budget by Source'!$A$5:$I$5,0))/10,0)*10)</f>
        <v>-1</v>
      </c>
      <c r="U52" s="159">
        <f>INDEX('Budget by Source'!$A$6:$I$335,MATCH('Payment by Source'!$A52,'Budget by Source'!$A$6:$A$335,0),MATCH(U$3,'Budget by Source'!$A$5:$I$5,0))</f>
        <v>5883577</v>
      </c>
      <c r="V52" s="156">
        <f t="shared" si="1"/>
        <v>588358</v>
      </c>
      <c r="W52" s="156">
        <f t="shared" si="2"/>
        <v>5883580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46582</v>
      </c>
      <c r="D53" s="22">
        <f>IF(Notes!$B$2="June",ROUND('Budget by Source'!D53/10,0)+Q53,ROUND('Budget by Source'!D53/10,0))</f>
        <v>291623</v>
      </c>
      <c r="E53" s="22">
        <f>IF(Notes!$B$2="June",ROUND('Budget by Source'!E53/10,0)+R53,ROUND('Budget by Source'!E53/10,0))</f>
        <v>34563</v>
      </c>
      <c r="F53" s="22">
        <f>IF(Notes!$B$2="June",ROUND('Budget by Source'!F53/10,0)+S53,ROUND('Budget by Source'!F53/10,0))</f>
        <v>34626</v>
      </c>
      <c r="G53" s="22">
        <f>IF(Notes!$B$2="June",ROUND('Budget by Source'!G53/10,0)+T53,ROUND('Budget by Source'!G53/10,0))</f>
        <v>167412</v>
      </c>
      <c r="H53" s="22">
        <f t="shared" si="0"/>
        <v>2330112</v>
      </c>
      <c r="I53" s="22">
        <f>INDEX(Data[],MATCH($A53,Data[Dist],0),MATCH(I$5,Data[#Headers],0))</f>
        <v>2904918</v>
      </c>
      <c r="K53" s="70">
        <f>INDEX('Payment Total'!$A$7:$H$336,MATCH('Payment by Source'!$A53,'Payment Total'!$A$7:$A$336,0),6)-I53</f>
        <v>0</v>
      </c>
      <c r="P53" s="158">
        <f>INDEX('Budget by Source'!$A$6:$I$335,MATCH('Payment by Source'!$A53,'Budget by Source'!$A$6:$A$335,0),MATCH(P$3,'Budget by Source'!$A$5:$I$5,0))-(ROUND(INDEX('Budget by Source'!$A$6:$I$335,MATCH('Payment by Source'!$A53,'Budget by Source'!$A$6:$A$335,0),MATCH(P$3,'Budget by Source'!$A$5:$I$5,0))/10,0)*10)</f>
        <v>-3</v>
      </c>
      <c r="Q53" s="158">
        <f>INDEX('Budget by Source'!$A$6:$I$335,MATCH('Payment by Source'!$A53,'Budget by Source'!$A$6:$A$335,0),MATCH(Q$3,'Budget by Source'!$A$5:$I$5,0))-(ROUND(INDEX('Budget by Source'!$A$6:$I$335,MATCH('Payment by Source'!$A53,'Budget by Source'!$A$6:$A$335,0),MATCH(Q$3,'Budget by Source'!$A$5:$I$5,0))/10,0)*10)</f>
        <v>-4</v>
      </c>
      <c r="R53" s="158">
        <f>INDEX('Budget by Source'!$A$6:$I$335,MATCH('Payment by Source'!$A53,'Budget by Source'!$A$6:$A$335,0),MATCH(R$3,'Budget by Source'!$A$5:$I$5,0))-(ROUND(INDEX('Budget by Source'!$A$6:$I$335,MATCH('Payment by Source'!$A53,'Budget by Source'!$A$6:$A$335,0),MATCH(R$3,'Budget by Source'!$A$5:$I$5,0))/10,0)*10)</f>
        <v>4</v>
      </c>
      <c r="S53" s="158">
        <f>INDEX('Budget by Source'!$A$6:$I$335,MATCH('Payment by Source'!$A53,'Budget by Source'!$A$6:$A$335,0),MATCH(S$3,'Budget by Source'!$A$5:$I$5,0))-(ROUND(INDEX('Budget by Source'!$A$6:$I$335,MATCH('Payment by Source'!$A53,'Budget by Source'!$A$6:$A$335,0),MATCH(S$3,'Budget by Source'!$A$5:$I$5,0))/10,0)*10)</f>
        <v>0</v>
      </c>
      <c r="T53" s="158">
        <f>INDEX('Budget by Source'!$A$6:$I$335,MATCH('Payment by Source'!$A53,'Budget by Source'!$A$6:$A$335,0),MATCH(T$3,'Budget by Source'!$A$5:$I$5,0))-(ROUND(INDEX('Budget by Source'!$A$6:$I$335,MATCH('Payment by Source'!$A53,'Budget by Source'!$A$6:$A$335,0),MATCH(T$3,'Budget by Source'!$A$5:$I$5,0))/10,0)*10)</f>
        <v>-1</v>
      </c>
      <c r="U53" s="159">
        <f>INDEX('Budget by Source'!$A$6:$I$335,MATCH('Payment by Source'!$A53,'Budget by Source'!$A$6:$A$335,0),MATCH(U$3,'Budget by Source'!$A$5:$I$5,0))</f>
        <v>23386490</v>
      </c>
      <c r="V53" s="156">
        <f t="shared" si="1"/>
        <v>2338649</v>
      </c>
      <c r="W53" s="156">
        <f t="shared" si="2"/>
        <v>23386490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217842</v>
      </c>
      <c r="D54" s="22">
        <f>IF(Notes!$B$2="June",ROUND('Budget by Source'!D54/10,0)+Q54,ROUND('Budget by Source'!D54/10,0))</f>
        <v>974597</v>
      </c>
      <c r="E54" s="22">
        <f>IF(Notes!$B$2="June",ROUND('Budget by Source'!E54/10,0)+R54,ROUND('Budget by Source'!E54/10,0))</f>
        <v>125472</v>
      </c>
      <c r="F54" s="22">
        <f>IF(Notes!$B$2="June",ROUND('Budget by Source'!F54/10,0)+S54,ROUND('Budget by Source'!F54/10,0))</f>
        <v>114968</v>
      </c>
      <c r="G54" s="22">
        <f>IF(Notes!$B$2="June",ROUND('Budget by Source'!G54/10,0)+T54,ROUND('Budget by Source'!G54/10,0))</f>
        <v>559274</v>
      </c>
      <c r="H54" s="22">
        <f t="shared" si="0"/>
        <v>8440103</v>
      </c>
      <c r="I54" s="22">
        <f>INDEX(Data[],MATCH($A54,Data[Dist],0),MATCH(I$5,Data[#Headers],0))</f>
        <v>10432256</v>
      </c>
      <c r="K54" s="70">
        <f>INDEX('Payment Total'!$A$7:$H$336,MATCH('Payment by Source'!$A54,'Payment Total'!$A$7:$A$336,0),6)-I54</f>
        <v>0</v>
      </c>
      <c r="P54" s="158">
        <f>INDEX('Budget by Source'!$A$6:$I$335,MATCH('Payment by Source'!$A54,'Budget by Source'!$A$6:$A$335,0),MATCH(P$3,'Budget by Source'!$A$5:$I$5,0))-(ROUND(INDEX('Budget by Source'!$A$6:$I$335,MATCH('Payment by Source'!$A54,'Budget by Source'!$A$6:$A$335,0),MATCH(P$3,'Budget by Source'!$A$5:$I$5,0))/10,0)*10)</f>
        <v>0</v>
      </c>
      <c r="Q54" s="158">
        <f>INDEX('Budget by Source'!$A$6:$I$335,MATCH('Payment by Source'!$A54,'Budget by Source'!$A$6:$A$335,0),MATCH(Q$3,'Budget by Source'!$A$5:$I$5,0))-(ROUND(INDEX('Budget by Source'!$A$6:$I$335,MATCH('Payment by Source'!$A54,'Budget by Source'!$A$6:$A$335,0),MATCH(Q$3,'Budget by Source'!$A$5:$I$5,0))/10,0)*10)</f>
        <v>3</v>
      </c>
      <c r="R54" s="158">
        <f>INDEX('Budget by Source'!$A$6:$I$335,MATCH('Payment by Source'!$A54,'Budget by Source'!$A$6:$A$335,0),MATCH(R$3,'Budget by Source'!$A$5:$I$5,0))-(ROUND(INDEX('Budget by Source'!$A$6:$I$335,MATCH('Payment by Source'!$A54,'Budget by Source'!$A$6:$A$335,0),MATCH(R$3,'Budget by Source'!$A$5:$I$5,0))/10,0)*10)</f>
        <v>-1</v>
      </c>
      <c r="S54" s="158">
        <f>INDEX('Budget by Source'!$A$6:$I$335,MATCH('Payment by Source'!$A54,'Budget by Source'!$A$6:$A$335,0),MATCH(S$3,'Budget by Source'!$A$5:$I$5,0))-(ROUND(INDEX('Budget by Source'!$A$6:$I$335,MATCH('Payment by Source'!$A54,'Budget by Source'!$A$6:$A$335,0),MATCH(S$3,'Budget by Source'!$A$5:$I$5,0))/10,0)*10)</f>
        <v>-5</v>
      </c>
      <c r="T54" s="158">
        <f>INDEX('Budget by Source'!$A$6:$I$335,MATCH('Payment by Source'!$A54,'Budget by Source'!$A$6:$A$335,0),MATCH(T$3,'Budget by Source'!$A$5:$I$5,0))-(ROUND(INDEX('Budget by Source'!$A$6:$I$335,MATCH('Payment by Source'!$A54,'Budget by Source'!$A$6:$A$335,0),MATCH(T$3,'Budget by Source'!$A$5:$I$5,0))/10,0)*10)</f>
        <v>-1</v>
      </c>
      <c r="U54" s="159">
        <f>INDEX('Budget by Source'!$A$6:$I$335,MATCH('Payment by Source'!$A54,'Budget by Source'!$A$6:$A$335,0),MATCH(U$3,'Budget by Source'!$A$5:$I$5,0))</f>
        <v>84686258</v>
      </c>
      <c r="V54" s="156">
        <f t="shared" si="1"/>
        <v>8468626</v>
      </c>
      <c r="W54" s="156">
        <f t="shared" si="2"/>
        <v>84686260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28487</v>
      </c>
      <c r="D55" s="22">
        <f>IF(Notes!$B$2="June",ROUND('Budget by Source'!D55/10,0)+Q55,ROUND('Budget by Source'!D55/10,0))</f>
        <v>77938</v>
      </c>
      <c r="E55" s="22">
        <f>IF(Notes!$B$2="June",ROUND('Budget by Source'!E55/10,0)+R55,ROUND('Budget by Source'!E55/10,0))</f>
        <v>8919</v>
      </c>
      <c r="F55" s="22">
        <f>IF(Notes!$B$2="June",ROUND('Budget by Source'!F55/10,0)+S55,ROUND('Budget by Source'!F55/10,0))</f>
        <v>8650</v>
      </c>
      <c r="G55" s="22">
        <f>IF(Notes!$B$2="June",ROUND('Budget by Source'!G55/10,0)+T55,ROUND('Budget by Source'!G55/10,0))</f>
        <v>44285</v>
      </c>
      <c r="H55" s="22">
        <f t="shared" si="0"/>
        <v>746691</v>
      </c>
      <c r="I55" s="22">
        <f>INDEX(Data[],MATCH($A55,Data[Dist],0),MATCH(I$5,Data[#Headers],0))</f>
        <v>914970</v>
      </c>
      <c r="K55" s="70">
        <f>INDEX('Payment Total'!$A$7:$H$336,MATCH('Payment by Source'!$A55,'Payment Total'!$A$7:$A$336,0),6)-I55</f>
        <v>0</v>
      </c>
      <c r="P55" s="158">
        <f>INDEX('Budget by Source'!$A$6:$I$335,MATCH('Payment by Source'!$A55,'Budget by Source'!$A$6:$A$335,0),MATCH(P$3,'Budget by Source'!$A$5:$I$5,0))-(ROUND(INDEX('Budget by Source'!$A$6:$I$335,MATCH('Payment by Source'!$A55,'Budget by Source'!$A$6:$A$335,0),MATCH(P$3,'Budget by Source'!$A$5:$I$5,0))/10,0)*10)</f>
        <v>0</v>
      </c>
      <c r="Q55" s="158">
        <f>INDEX('Budget by Source'!$A$6:$I$335,MATCH('Payment by Source'!$A55,'Budget by Source'!$A$6:$A$335,0),MATCH(Q$3,'Budget by Source'!$A$5:$I$5,0))-(ROUND(INDEX('Budget by Source'!$A$6:$I$335,MATCH('Payment by Source'!$A55,'Budget by Source'!$A$6:$A$335,0),MATCH(Q$3,'Budget by Source'!$A$5:$I$5,0))/10,0)*10)</f>
        <v>4</v>
      </c>
      <c r="R55" s="158">
        <f>INDEX('Budget by Source'!$A$6:$I$335,MATCH('Payment by Source'!$A55,'Budget by Source'!$A$6:$A$335,0),MATCH(R$3,'Budget by Source'!$A$5:$I$5,0))-(ROUND(INDEX('Budget by Source'!$A$6:$I$335,MATCH('Payment by Source'!$A55,'Budget by Source'!$A$6:$A$335,0),MATCH(R$3,'Budget by Source'!$A$5:$I$5,0))/10,0)*10)</f>
        <v>3</v>
      </c>
      <c r="S55" s="158">
        <f>INDEX('Budget by Source'!$A$6:$I$335,MATCH('Payment by Source'!$A55,'Budget by Source'!$A$6:$A$335,0),MATCH(S$3,'Budget by Source'!$A$5:$I$5,0))-(ROUND(INDEX('Budget by Source'!$A$6:$I$335,MATCH('Payment by Source'!$A55,'Budget by Source'!$A$6:$A$335,0),MATCH(S$3,'Budget by Source'!$A$5:$I$5,0))/10,0)*10)</f>
        <v>4</v>
      </c>
      <c r="T55" s="158">
        <f>INDEX('Budget by Source'!$A$6:$I$335,MATCH('Payment by Source'!$A55,'Budget by Source'!$A$6:$A$335,0),MATCH(T$3,'Budget by Source'!$A$5:$I$5,0))-(ROUND(INDEX('Budget by Source'!$A$6:$I$335,MATCH('Payment by Source'!$A55,'Budget by Source'!$A$6:$A$335,0),MATCH(T$3,'Budget by Source'!$A$5:$I$5,0))/10,0)*10)</f>
        <v>2</v>
      </c>
      <c r="U55" s="159">
        <f>INDEX('Budget by Source'!$A$6:$I$335,MATCH('Payment by Source'!$A55,'Budget by Source'!$A$6:$A$335,0),MATCH(U$3,'Budget by Source'!$A$5:$I$5,0))</f>
        <v>7489615</v>
      </c>
      <c r="V55" s="156">
        <f t="shared" si="1"/>
        <v>748962</v>
      </c>
      <c r="W55" s="156">
        <f t="shared" si="2"/>
        <v>7489620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26478</v>
      </c>
      <c r="D56" s="22">
        <f>IF(Notes!$B$2="June",ROUND('Budget by Source'!D56/10,0)+Q56,ROUND('Budget by Source'!D56/10,0))</f>
        <v>79889</v>
      </c>
      <c r="E56" s="22">
        <f>IF(Notes!$B$2="June",ROUND('Budget by Source'!E56/10,0)+R56,ROUND('Budget by Source'!E56/10,0))</f>
        <v>9683</v>
      </c>
      <c r="F56" s="22">
        <f>IF(Notes!$B$2="June",ROUND('Budget by Source'!F56/10,0)+S56,ROUND('Budget by Source'!F56/10,0))</f>
        <v>9159</v>
      </c>
      <c r="G56" s="22">
        <f>IF(Notes!$B$2="June",ROUND('Budget by Source'!G56/10,0)+T56,ROUND('Budget by Source'!G56/10,0))</f>
        <v>44935</v>
      </c>
      <c r="H56" s="22">
        <f t="shared" si="0"/>
        <v>802360</v>
      </c>
      <c r="I56" s="22">
        <f>INDEX(Data[],MATCH($A56,Data[Dist],0),MATCH(I$5,Data[#Headers],0))</f>
        <v>972504</v>
      </c>
      <c r="K56" s="70">
        <f>INDEX('Payment Total'!$A$7:$H$336,MATCH('Payment by Source'!$A56,'Payment Total'!$A$7:$A$336,0),6)-I56</f>
        <v>0</v>
      </c>
      <c r="P56" s="158">
        <f>INDEX('Budget by Source'!$A$6:$I$335,MATCH('Payment by Source'!$A56,'Budget by Source'!$A$6:$A$335,0),MATCH(P$3,'Budget by Source'!$A$5:$I$5,0))-(ROUND(INDEX('Budget by Source'!$A$6:$I$335,MATCH('Payment by Source'!$A56,'Budget by Source'!$A$6:$A$335,0),MATCH(P$3,'Budget by Source'!$A$5:$I$5,0))/10,0)*10)</f>
        <v>2</v>
      </c>
      <c r="Q56" s="158">
        <f>INDEX('Budget by Source'!$A$6:$I$335,MATCH('Payment by Source'!$A56,'Budget by Source'!$A$6:$A$335,0),MATCH(Q$3,'Budget by Source'!$A$5:$I$5,0))-(ROUND(INDEX('Budget by Source'!$A$6:$I$335,MATCH('Payment by Source'!$A56,'Budget by Source'!$A$6:$A$335,0),MATCH(Q$3,'Budget by Source'!$A$5:$I$5,0))/10,0)*10)</f>
        <v>0</v>
      </c>
      <c r="R56" s="158">
        <f>INDEX('Budget by Source'!$A$6:$I$335,MATCH('Payment by Source'!$A56,'Budget by Source'!$A$6:$A$335,0),MATCH(R$3,'Budget by Source'!$A$5:$I$5,0))-(ROUND(INDEX('Budget by Source'!$A$6:$I$335,MATCH('Payment by Source'!$A56,'Budget by Source'!$A$6:$A$335,0),MATCH(R$3,'Budget by Source'!$A$5:$I$5,0))/10,0)*10)</f>
        <v>0</v>
      </c>
      <c r="S56" s="158">
        <f>INDEX('Budget by Source'!$A$6:$I$335,MATCH('Payment by Source'!$A56,'Budget by Source'!$A$6:$A$335,0),MATCH(S$3,'Budget by Source'!$A$5:$I$5,0))-(ROUND(INDEX('Budget by Source'!$A$6:$I$335,MATCH('Payment by Source'!$A56,'Budget by Source'!$A$6:$A$335,0),MATCH(S$3,'Budget by Source'!$A$5:$I$5,0))/10,0)*10)</f>
        <v>-1</v>
      </c>
      <c r="T56" s="158">
        <f>INDEX('Budget by Source'!$A$6:$I$335,MATCH('Payment by Source'!$A56,'Budget by Source'!$A$6:$A$335,0),MATCH(T$3,'Budget by Source'!$A$5:$I$5,0))-(ROUND(INDEX('Budget by Source'!$A$6:$I$335,MATCH('Payment by Source'!$A56,'Budget by Source'!$A$6:$A$335,0),MATCH(T$3,'Budget by Source'!$A$5:$I$5,0))/10,0)*10)</f>
        <v>-5</v>
      </c>
      <c r="U56" s="159">
        <f>INDEX('Budget by Source'!$A$6:$I$335,MATCH('Payment by Source'!$A56,'Budget by Source'!$A$6:$A$335,0),MATCH(U$3,'Budget by Source'!$A$5:$I$5,0))</f>
        <v>8046481</v>
      </c>
      <c r="V56" s="156">
        <f t="shared" si="1"/>
        <v>804648</v>
      </c>
      <c r="W56" s="156">
        <f t="shared" si="2"/>
        <v>8046480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15749</v>
      </c>
      <c r="D57" s="22">
        <f>IF(Notes!$B$2="June",ROUND('Budget by Source'!D57/10,0)+Q57,ROUND('Budget by Source'!D57/10,0))</f>
        <v>47356</v>
      </c>
      <c r="E57" s="22">
        <f>IF(Notes!$B$2="June",ROUND('Budget by Source'!E57/10,0)+R57,ROUND('Budget by Source'!E57/10,0))</f>
        <v>5164</v>
      </c>
      <c r="F57" s="22">
        <f>IF(Notes!$B$2="June",ROUND('Budget by Source'!F57/10,0)+S57,ROUND('Budget by Source'!F57/10,0))</f>
        <v>6086</v>
      </c>
      <c r="G57" s="22">
        <f>IF(Notes!$B$2="June",ROUND('Budget by Source'!G57/10,0)+T57,ROUND('Budget by Source'!G57/10,0))</f>
        <v>25457</v>
      </c>
      <c r="H57" s="22">
        <f t="shared" si="0"/>
        <v>349775</v>
      </c>
      <c r="I57" s="22">
        <f>INDEX(Data[],MATCH($A57,Data[Dist],0),MATCH(I$5,Data[#Headers],0))</f>
        <v>449587</v>
      </c>
      <c r="K57" s="70">
        <f>INDEX('Payment Total'!$A$7:$H$336,MATCH('Payment by Source'!$A57,'Payment Total'!$A$7:$A$336,0),6)-I57</f>
        <v>0</v>
      </c>
      <c r="P57" s="158">
        <f>INDEX('Budget by Source'!$A$6:$I$335,MATCH('Payment by Source'!$A57,'Budget by Source'!$A$6:$A$335,0),MATCH(P$3,'Budget by Source'!$A$5:$I$5,0))-(ROUND(INDEX('Budget by Source'!$A$6:$I$335,MATCH('Payment by Source'!$A57,'Budget by Source'!$A$6:$A$335,0),MATCH(P$3,'Budget by Source'!$A$5:$I$5,0))/10,0)*10)</f>
        <v>-3</v>
      </c>
      <c r="Q57" s="158">
        <f>INDEX('Budget by Source'!$A$6:$I$335,MATCH('Payment by Source'!$A57,'Budget by Source'!$A$6:$A$335,0),MATCH(Q$3,'Budget by Source'!$A$5:$I$5,0))-(ROUND(INDEX('Budget by Source'!$A$6:$I$335,MATCH('Payment by Source'!$A57,'Budget by Source'!$A$6:$A$335,0),MATCH(Q$3,'Budget by Source'!$A$5:$I$5,0))/10,0)*10)</f>
        <v>2</v>
      </c>
      <c r="R57" s="158">
        <f>INDEX('Budget by Source'!$A$6:$I$335,MATCH('Payment by Source'!$A57,'Budget by Source'!$A$6:$A$335,0),MATCH(R$3,'Budget by Source'!$A$5:$I$5,0))-(ROUND(INDEX('Budget by Source'!$A$6:$I$335,MATCH('Payment by Source'!$A57,'Budget by Source'!$A$6:$A$335,0),MATCH(R$3,'Budget by Source'!$A$5:$I$5,0))/10,0)*10)</f>
        <v>-5</v>
      </c>
      <c r="S57" s="158">
        <f>INDEX('Budget by Source'!$A$6:$I$335,MATCH('Payment by Source'!$A57,'Budget by Source'!$A$6:$A$335,0),MATCH(S$3,'Budget by Source'!$A$5:$I$5,0))-(ROUND(INDEX('Budget by Source'!$A$6:$I$335,MATCH('Payment by Source'!$A57,'Budget by Source'!$A$6:$A$335,0),MATCH(S$3,'Budget by Source'!$A$5:$I$5,0))/10,0)*10)</f>
        <v>2</v>
      </c>
      <c r="T57" s="158">
        <f>INDEX('Budget by Source'!$A$6:$I$335,MATCH('Payment by Source'!$A57,'Budget by Source'!$A$6:$A$335,0),MATCH(T$3,'Budget by Source'!$A$5:$I$5,0))-(ROUND(INDEX('Budget by Source'!$A$6:$I$335,MATCH('Payment by Source'!$A57,'Budget by Source'!$A$6:$A$335,0),MATCH(T$3,'Budget by Source'!$A$5:$I$5,0))/10,0)*10)</f>
        <v>3</v>
      </c>
      <c r="U57" s="159">
        <f>INDEX('Budget by Source'!$A$6:$I$335,MATCH('Payment by Source'!$A57,'Budget by Source'!$A$6:$A$335,0),MATCH(U$3,'Budget by Source'!$A$5:$I$5,0))</f>
        <v>3510523</v>
      </c>
      <c r="V57" s="156">
        <f t="shared" si="1"/>
        <v>351052</v>
      </c>
      <c r="W57" s="156">
        <f t="shared" si="2"/>
        <v>3510520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11057</v>
      </c>
      <c r="D58" s="22">
        <f>IF(Notes!$B$2="June",ROUND('Budget by Source'!D58/10,0)+Q58,ROUND('Budget by Source'!D58/10,0))</f>
        <v>25567</v>
      </c>
      <c r="E58" s="22">
        <f>IF(Notes!$B$2="June",ROUND('Budget by Source'!E58/10,0)+R58,ROUND('Budget by Source'!E58/10,0))</f>
        <v>2609</v>
      </c>
      <c r="F58" s="22">
        <f>IF(Notes!$B$2="June",ROUND('Budget by Source'!F58/10,0)+S58,ROUND('Budget by Source'!F58/10,0))</f>
        <v>2644</v>
      </c>
      <c r="G58" s="22">
        <f>IF(Notes!$B$2="June",ROUND('Budget by Source'!G58/10,0)+T58,ROUND('Budget by Source'!G58/10,0))</f>
        <v>14010</v>
      </c>
      <c r="H58" s="22">
        <f t="shared" si="0"/>
        <v>178269</v>
      </c>
      <c r="I58" s="22">
        <f>INDEX(Data[],MATCH($A58,Data[Dist],0),MATCH(I$5,Data[#Headers],0))</f>
        <v>234156</v>
      </c>
      <c r="K58" s="70">
        <f>INDEX('Payment Total'!$A$7:$H$336,MATCH('Payment by Source'!$A58,'Payment Total'!$A$7:$A$336,0),6)-I58</f>
        <v>0</v>
      </c>
      <c r="P58" s="158">
        <f>INDEX('Budget by Source'!$A$6:$I$335,MATCH('Payment by Source'!$A58,'Budget by Source'!$A$6:$A$335,0),MATCH(P$3,'Budget by Source'!$A$5:$I$5,0))-(ROUND(INDEX('Budget by Source'!$A$6:$I$335,MATCH('Payment by Source'!$A58,'Budget by Source'!$A$6:$A$335,0),MATCH(P$3,'Budget by Source'!$A$5:$I$5,0))/10,0)*10)</f>
        <v>-3</v>
      </c>
      <c r="Q58" s="158">
        <f>INDEX('Budget by Source'!$A$6:$I$335,MATCH('Payment by Source'!$A58,'Budget by Source'!$A$6:$A$335,0),MATCH(Q$3,'Budget by Source'!$A$5:$I$5,0))-(ROUND(INDEX('Budget by Source'!$A$6:$I$335,MATCH('Payment by Source'!$A58,'Budget by Source'!$A$6:$A$335,0),MATCH(Q$3,'Budget by Source'!$A$5:$I$5,0))/10,0)*10)</f>
        <v>4</v>
      </c>
      <c r="R58" s="158">
        <f>INDEX('Budget by Source'!$A$6:$I$335,MATCH('Payment by Source'!$A58,'Budget by Source'!$A$6:$A$335,0),MATCH(R$3,'Budget by Source'!$A$5:$I$5,0))-(ROUND(INDEX('Budget by Source'!$A$6:$I$335,MATCH('Payment by Source'!$A58,'Budget by Source'!$A$6:$A$335,0),MATCH(R$3,'Budget by Source'!$A$5:$I$5,0))/10,0)*10)</f>
        <v>2</v>
      </c>
      <c r="S58" s="158">
        <f>INDEX('Budget by Source'!$A$6:$I$335,MATCH('Payment by Source'!$A58,'Budget by Source'!$A$6:$A$335,0),MATCH(S$3,'Budget by Source'!$A$5:$I$5,0))-(ROUND(INDEX('Budget by Source'!$A$6:$I$335,MATCH('Payment by Source'!$A58,'Budget by Source'!$A$6:$A$335,0),MATCH(S$3,'Budget by Source'!$A$5:$I$5,0))/10,0)*10)</f>
        <v>0</v>
      </c>
      <c r="T58" s="158">
        <f>INDEX('Budget by Source'!$A$6:$I$335,MATCH('Payment by Source'!$A58,'Budget by Source'!$A$6:$A$335,0),MATCH(T$3,'Budget by Source'!$A$5:$I$5,0))-(ROUND(INDEX('Budget by Source'!$A$6:$I$335,MATCH('Payment by Source'!$A58,'Budget by Source'!$A$6:$A$335,0),MATCH(T$3,'Budget by Source'!$A$5:$I$5,0))/10,0)*10)</f>
        <v>3</v>
      </c>
      <c r="U58" s="159">
        <f>INDEX('Budget by Source'!$A$6:$I$335,MATCH('Payment by Source'!$A58,'Budget by Source'!$A$6:$A$335,0),MATCH(U$3,'Budget by Source'!$A$5:$I$5,0))</f>
        <v>1789721</v>
      </c>
      <c r="V58" s="156">
        <f t="shared" si="1"/>
        <v>178972</v>
      </c>
      <c r="W58" s="156">
        <f t="shared" si="2"/>
        <v>1789720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37871</v>
      </c>
      <c r="D59" s="22">
        <f>IF(Notes!$B$2="June",ROUND('Budget by Source'!D59/10,0)+Q59,ROUND('Budget by Source'!D59/10,0))</f>
        <v>87005</v>
      </c>
      <c r="E59" s="22">
        <f>IF(Notes!$B$2="June",ROUND('Budget by Source'!E59/10,0)+R59,ROUND('Budget by Source'!E59/10,0))</f>
        <v>8910</v>
      </c>
      <c r="F59" s="22">
        <f>IF(Notes!$B$2="June",ROUND('Budget by Source'!F59/10,0)+S59,ROUND('Budget by Source'!F59/10,0))</f>
        <v>9426</v>
      </c>
      <c r="G59" s="22">
        <f>IF(Notes!$B$2="June",ROUND('Budget by Source'!G59/10,0)+T59,ROUND('Budget by Source'!G59/10,0))</f>
        <v>47759</v>
      </c>
      <c r="H59" s="22">
        <f t="shared" si="0"/>
        <v>673761</v>
      </c>
      <c r="I59" s="22">
        <f>INDEX(Data[],MATCH($A59,Data[Dist],0),MATCH(I$5,Data[#Headers],0))</f>
        <v>864732</v>
      </c>
      <c r="K59" s="70">
        <f>INDEX('Payment Total'!$A$7:$H$336,MATCH('Payment by Source'!$A59,'Payment Total'!$A$7:$A$336,0),6)-I59</f>
        <v>0</v>
      </c>
      <c r="P59" s="158">
        <f>INDEX('Budget by Source'!$A$6:$I$335,MATCH('Payment by Source'!$A59,'Budget by Source'!$A$6:$A$335,0),MATCH(P$3,'Budget by Source'!$A$5:$I$5,0))-(ROUND(INDEX('Budget by Source'!$A$6:$I$335,MATCH('Payment by Source'!$A59,'Budget by Source'!$A$6:$A$335,0),MATCH(P$3,'Budget by Source'!$A$5:$I$5,0))/10,0)*10)</f>
        <v>0</v>
      </c>
      <c r="Q59" s="158">
        <f>INDEX('Budget by Source'!$A$6:$I$335,MATCH('Payment by Source'!$A59,'Budget by Source'!$A$6:$A$335,0),MATCH(Q$3,'Budget by Source'!$A$5:$I$5,0))-(ROUND(INDEX('Budget by Source'!$A$6:$I$335,MATCH('Payment by Source'!$A59,'Budget by Source'!$A$6:$A$335,0),MATCH(Q$3,'Budget by Source'!$A$5:$I$5,0))/10,0)*10)</f>
        <v>4</v>
      </c>
      <c r="R59" s="158">
        <f>INDEX('Budget by Source'!$A$6:$I$335,MATCH('Payment by Source'!$A59,'Budget by Source'!$A$6:$A$335,0),MATCH(R$3,'Budget by Source'!$A$5:$I$5,0))-(ROUND(INDEX('Budget by Source'!$A$6:$I$335,MATCH('Payment by Source'!$A59,'Budget by Source'!$A$6:$A$335,0),MATCH(R$3,'Budget by Source'!$A$5:$I$5,0))/10,0)*10)</f>
        <v>4</v>
      </c>
      <c r="S59" s="158">
        <f>INDEX('Budget by Source'!$A$6:$I$335,MATCH('Payment by Source'!$A59,'Budget by Source'!$A$6:$A$335,0),MATCH(S$3,'Budget by Source'!$A$5:$I$5,0))-(ROUND(INDEX('Budget by Source'!$A$6:$I$335,MATCH('Payment by Source'!$A59,'Budget by Source'!$A$6:$A$335,0),MATCH(S$3,'Budget by Source'!$A$5:$I$5,0))/10,0)*10)</f>
        <v>2</v>
      </c>
      <c r="T59" s="158">
        <f>INDEX('Budget by Source'!$A$6:$I$335,MATCH('Payment by Source'!$A59,'Budget by Source'!$A$6:$A$335,0),MATCH(T$3,'Budget by Source'!$A$5:$I$5,0))-(ROUND(INDEX('Budget by Source'!$A$6:$I$335,MATCH('Payment by Source'!$A59,'Budget by Source'!$A$6:$A$335,0),MATCH(T$3,'Budget by Source'!$A$5:$I$5,0))/10,0)*10)</f>
        <v>2</v>
      </c>
      <c r="U59" s="159">
        <f>INDEX('Budget by Source'!$A$6:$I$335,MATCH('Payment by Source'!$A59,'Budget by Source'!$A$6:$A$335,0),MATCH(U$3,'Budget by Source'!$A$5:$I$5,0))</f>
        <v>6762065</v>
      </c>
      <c r="V59" s="156">
        <f t="shared" si="1"/>
        <v>676207</v>
      </c>
      <c r="W59" s="156">
        <f t="shared" si="2"/>
        <v>6762070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8712</v>
      </c>
      <c r="D60" s="22">
        <f>IF(Notes!$B$2="June",ROUND('Budget by Source'!D60/10,0)+Q60,ROUND('Budget by Source'!D60/10,0))</f>
        <v>29635</v>
      </c>
      <c r="E60" s="22">
        <f>IF(Notes!$B$2="June",ROUND('Budget by Source'!E60/10,0)+R60,ROUND('Budget by Source'!E60/10,0))</f>
        <v>3315</v>
      </c>
      <c r="F60" s="22">
        <f>IF(Notes!$B$2="June",ROUND('Budget by Source'!F60/10,0)+S60,ROUND('Budget by Source'!F60/10,0))</f>
        <v>2897</v>
      </c>
      <c r="G60" s="22">
        <f>IF(Notes!$B$2="June",ROUND('Budget by Source'!G60/10,0)+T60,ROUND('Budget by Source'!G60/10,0))</f>
        <v>15480</v>
      </c>
      <c r="H60" s="22">
        <f t="shared" si="0"/>
        <v>246393</v>
      </c>
      <c r="I60" s="22">
        <f>INDEX(Data[],MATCH($A60,Data[Dist],0),MATCH(I$5,Data[#Headers],0))</f>
        <v>306432</v>
      </c>
      <c r="K60" s="70">
        <f>INDEX('Payment Total'!$A$7:$H$336,MATCH('Payment by Source'!$A60,'Payment Total'!$A$7:$A$336,0),6)-I60</f>
        <v>0</v>
      </c>
      <c r="P60" s="158">
        <f>INDEX('Budget by Source'!$A$6:$I$335,MATCH('Payment by Source'!$A60,'Budget by Source'!$A$6:$A$335,0),MATCH(P$3,'Budget by Source'!$A$5:$I$5,0))-(ROUND(INDEX('Budget by Source'!$A$6:$I$335,MATCH('Payment by Source'!$A60,'Budget by Source'!$A$6:$A$335,0),MATCH(P$3,'Budget by Source'!$A$5:$I$5,0))/10,0)*10)</f>
        <v>-4</v>
      </c>
      <c r="Q60" s="158">
        <f>INDEX('Budget by Source'!$A$6:$I$335,MATCH('Payment by Source'!$A60,'Budget by Source'!$A$6:$A$335,0),MATCH(Q$3,'Budget by Source'!$A$5:$I$5,0))-(ROUND(INDEX('Budget by Source'!$A$6:$I$335,MATCH('Payment by Source'!$A60,'Budget by Source'!$A$6:$A$335,0),MATCH(Q$3,'Budget by Source'!$A$5:$I$5,0))/10,0)*10)</f>
        <v>-3</v>
      </c>
      <c r="R60" s="158">
        <f>INDEX('Budget by Source'!$A$6:$I$335,MATCH('Payment by Source'!$A60,'Budget by Source'!$A$6:$A$335,0),MATCH(R$3,'Budget by Source'!$A$5:$I$5,0))-(ROUND(INDEX('Budget by Source'!$A$6:$I$335,MATCH('Payment by Source'!$A60,'Budget by Source'!$A$6:$A$335,0),MATCH(R$3,'Budget by Source'!$A$5:$I$5,0))/10,0)*10)</f>
        <v>4</v>
      </c>
      <c r="S60" s="158">
        <f>INDEX('Budget by Source'!$A$6:$I$335,MATCH('Payment by Source'!$A60,'Budget by Source'!$A$6:$A$335,0),MATCH(S$3,'Budget by Source'!$A$5:$I$5,0))-(ROUND(INDEX('Budget by Source'!$A$6:$I$335,MATCH('Payment by Source'!$A60,'Budget by Source'!$A$6:$A$335,0),MATCH(S$3,'Budget by Source'!$A$5:$I$5,0))/10,0)*10)</f>
        <v>-4</v>
      </c>
      <c r="T60" s="158">
        <f>INDEX('Budget by Source'!$A$6:$I$335,MATCH('Payment by Source'!$A60,'Budget by Source'!$A$6:$A$335,0),MATCH(T$3,'Budget by Source'!$A$5:$I$5,0))-(ROUND(INDEX('Budget by Source'!$A$6:$I$335,MATCH('Payment by Source'!$A60,'Budget by Source'!$A$6:$A$335,0),MATCH(T$3,'Budget by Source'!$A$5:$I$5,0))/10,0)*10)</f>
        <v>2</v>
      </c>
      <c r="U60" s="159">
        <f>INDEX('Budget by Source'!$A$6:$I$335,MATCH('Payment by Source'!$A60,'Budget by Source'!$A$6:$A$335,0),MATCH(U$3,'Budget by Source'!$A$5:$I$5,0))</f>
        <v>2471791</v>
      </c>
      <c r="V60" s="156">
        <f t="shared" si="1"/>
        <v>247179</v>
      </c>
      <c r="W60" s="156">
        <f t="shared" si="2"/>
        <v>2471790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14075</v>
      </c>
      <c r="D61" s="22">
        <f>IF(Notes!$B$2="June",ROUND('Budget by Source'!D61/10,0)+Q61,ROUND('Budget by Source'!D61/10,0))</f>
        <v>38960</v>
      </c>
      <c r="E61" s="22">
        <f>IF(Notes!$B$2="June",ROUND('Budget by Source'!E61/10,0)+R61,ROUND('Budget by Source'!E61/10,0))</f>
        <v>5234</v>
      </c>
      <c r="F61" s="22">
        <f>IF(Notes!$B$2="June",ROUND('Budget by Source'!F61/10,0)+S61,ROUND('Budget by Source'!F61/10,0))</f>
        <v>4023</v>
      </c>
      <c r="G61" s="22">
        <f>IF(Notes!$B$2="June",ROUND('Budget by Source'!G61/10,0)+T61,ROUND('Budget by Source'!G61/10,0))</f>
        <v>21042</v>
      </c>
      <c r="H61" s="22">
        <f t="shared" si="0"/>
        <v>354851</v>
      </c>
      <c r="I61" s="22">
        <f>INDEX(Data[],MATCH($A61,Data[Dist],0),MATCH(I$5,Data[#Headers],0))</f>
        <v>438185</v>
      </c>
      <c r="K61" s="70">
        <f>INDEX('Payment Total'!$A$7:$H$336,MATCH('Payment by Source'!$A61,'Payment Total'!$A$7:$A$336,0),6)-I61</f>
        <v>0</v>
      </c>
      <c r="P61" s="158">
        <f>INDEX('Budget by Source'!$A$6:$I$335,MATCH('Payment by Source'!$A61,'Budget by Source'!$A$6:$A$335,0),MATCH(P$3,'Budget by Source'!$A$5:$I$5,0))-(ROUND(INDEX('Budget by Source'!$A$6:$I$335,MATCH('Payment by Source'!$A61,'Budget by Source'!$A$6:$A$335,0),MATCH(P$3,'Budget by Source'!$A$5:$I$5,0))/10,0)*10)</f>
        <v>-1</v>
      </c>
      <c r="Q61" s="158">
        <f>INDEX('Budget by Source'!$A$6:$I$335,MATCH('Payment by Source'!$A61,'Budget by Source'!$A$6:$A$335,0),MATCH(Q$3,'Budget by Source'!$A$5:$I$5,0))-(ROUND(INDEX('Budget by Source'!$A$6:$I$335,MATCH('Payment by Source'!$A61,'Budget by Source'!$A$6:$A$335,0),MATCH(Q$3,'Budget by Source'!$A$5:$I$5,0))/10,0)*10)</f>
        <v>-3</v>
      </c>
      <c r="R61" s="158">
        <f>INDEX('Budget by Source'!$A$6:$I$335,MATCH('Payment by Source'!$A61,'Budget by Source'!$A$6:$A$335,0),MATCH(R$3,'Budget by Source'!$A$5:$I$5,0))-(ROUND(INDEX('Budget by Source'!$A$6:$I$335,MATCH('Payment by Source'!$A61,'Budget by Source'!$A$6:$A$335,0),MATCH(R$3,'Budget by Source'!$A$5:$I$5,0))/10,0)*10)</f>
        <v>-4</v>
      </c>
      <c r="S61" s="158">
        <f>INDEX('Budget by Source'!$A$6:$I$335,MATCH('Payment by Source'!$A61,'Budget by Source'!$A$6:$A$335,0),MATCH(S$3,'Budget by Source'!$A$5:$I$5,0))-(ROUND(INDEX('Budget by Source'!$A$6:$I$335,MATCH('Payment by Source'!$A61,'Budget by Source'!$A$6:$A$335,0),MATCH(S$3,'Budget by Source'!$A$5:$I$5,0))/10,0)*10)</f>
        <v>-1</v>
      </c>
      <c r="T61" s="158">
        <f>INDEX('Budget by Source'!$A$6:$I$335,MATCH('Payment by Source'!$A61,'Budget by Source'!$A$6:$A$335,0),MATCH(T$3,'Budget by Source'!$A$5:$I$5,0))-(ROUND(INDEX('Budget by Source'!$A$6:$I$335,MATCH('Payment by Source'!$A61,'Budget by Source'!$A$6:$A$335,0),MATCH(T$3,'Budget by Source'!$A$5:$I$5,0))/10,0)*10)</f>
        <v>4</v>
      </c>
      <c r="U61" s="159">
        <f>INDEX('Budget by Source'!$A$6:$I$335,MATCH('Payment by Source'!$A61,'Budget by Source'!$A$6:$A$335,0),MATCH(U$3,'Budget by Source'!$A$5:$I$5,0))</f>
        <v>3558728</v>
      </c>
      <c r="V61" s="156">
        <f t="shared" si="1"/>
        <v>355873</v>
      </c>
      <c r="W61" s="156">
        <f t="shared" si="2"/>
        <v>3558730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16758</v>
      </c>
      <c r="D62" s="22">
        <f>IF(Notes!$B$2="June",ROUND('Budget by Source'!D62/10,0)+Q62,ROUND('Budget by Source'!D62/10,0))</f>
        <v>42939</v>
      </c>
      <c r="E62" s="22">
        <f>IF(Notes!$B$2="June",ROUND('Budget by Source'!E62/10,0)+R62,ROUND('Budget by Source'!E62/10,0))</f>
        <v>4571</v>
      </c>
      <c r="F62" s="22">
        <f>IF(Notes!$B$2="June",ROUND('Budget by Source'!F62/10,0)+S62,ROUND('Budget by Source'!F62/10,0))</f>
        <v>4947</v>
      </c>
      <c r="G62" s="22">
        <f>IF(Notes!$B$2="June",ROUND('Budget by Source'!G62/10,0)+T62,ROUND('Budget by Source'!G62/10,0))</f>
        <v>24855</v>
      </c>
      <c r="H62" s="22">
        <f t="shared" si="0"/>
        <v>333853</v>
      </c>
      <c r="I62" s="22">
        <f>INDEX(Data[],MATCH($A62,Data[Dist],0),MATCH(I$5,Data[#Headers],0))</f>
        <v>427923</v>
      </c>
      <c r="K62" s="70">
        <f>INDEX('Payment Total'!$A$7:$H$336,MATCH('Payment by Source'!$A62,'Payment Total'!$A$7:$A$336,0),6)-I62</f>
        <v>0</v>
      </c>
      <c r="P62" s="158">
        <f>INDEX('Budget by Source'!$A$6:$I$335,MATCH('Payment by Source'!$A62,'Budget by Source'!$A$6:$A$335,0),MATCH(P$3,'Budget by Source'!$A$5:$I$5,0))-(ROUND(INDEX('Budget by Source'!$A$6:$I$335,MATCH('Payment by Source'!$A62,'Budget by Source'!$A$6:$A$335,0),MATCH(P$3,'Budget by Source'!$A$5:$I$5,0))/10,0)*10)</f>
        <v>1</v>
      </c>
      <c r="Q62" s="158">
        <f>INDEX('Budget by Source'!$A$6:$I$335,MATCH('Payment by Source'!$A62,'Budget by Source'!$A$6:$A$335,0),MATCH(Q$3,'Budget by Source'!$A$5:$I$5,0))-(ROUND(INDEX('Budget by Source'!$A$6:$I$335,MATCH('Payment by Source'!$A62,'Budget by Source'!$A$6:$A$335,0),MATCH(Q$3,'Budget by Source'!$A$5:$I$5,0))/10,0)*10)</f>
        <v>-2</v>
      </c>
      <c r="R62" s="158">
        <f>INDEX('Budget by Source'!$A$6:$I$335,MATCH('Payment by Source'!$A62,'Budget by Source'!$A$6:$A$335,0),MATCH(R$3,'Budget by Source'!$A$5:$I$5,0))-(ROUND(INDEX('Budget by Source'!$A$6:$I$335,MATCH('Payment by Source'!$A62,'Budget by Source'!$A$6:$A$335,0),MATCH(R$3,'Budget by Source'!$A$5:$I$5,0))/10,0)*10)</f>
        <v>0</v>
      </c>
      <c r="S62" s="158">
        <f>INDEX('Budget by Source'!$A$6:$I$335,MATCH('Payment by Source'!$A62,'Budget by Source'!$A$6:$A$335,0),MATCH(S$3,'Budget by Source'!$A$5:$I$5,0))-(ROUND(INDEX('Budget by Source'!$A$6:$I$335,MATCH('Payment by Source'!$A62,'Budget by Source'!$A$6:$A$335,0),MATCH(S$3,'Budget by Source'!$A$5:$I$5,0))/10,0)*10)</f>
        <v>0</v>
      </c>
      <c r="T62" s="158">
        <f>INDEX('Budget by Source'!$A$6:$I$335,MATCH('Payment by Source'!$A62,'Budget by Source'!$A$6:$A$335,0),MATCH(T$3,'Budget by Source'!$A$5:$I$5,0))-(ROUND(INDEX('Budget by Source'!$A$6:$I$335,MATCH('Payment by Source'!$A62,'Budget by Source'!$A$6:$A$335,0),MATCH(T$3,'Budget by Source'!$A$5:$I$5,0))/10,0)*10)</f>
        <v>2</v>
      </c>
      <c r="U62" s="159">
        <f>INDEX('Budget by Source'!$A$6:$I$335,MATCH('Payment by Source'!$A62,'Budget by Source'!$A$6:$A$335,0),MATCH(U$3,'Budget by Source'!$A$5:$I$5,0))</f>
        <v>3351208</v>
      </c>
      <c r="V62" s="156">
        <f t="shared" si="1"/>
        <v>335121</v>
      </c>
      <c r="W62" s="156">
        <f t="shared" si="2"/>
        <v>3351210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17431</v>
      </c>
      <c r="D63" s="22">
        <f>IF(Notes!$B$2="June",ROUND('Budget by Source'!D63/10,0)+Q63,ROUND('Budget by Source'!D63/10,0))</f>
        <v>72370</v>
      </c>
      <c r="E63" s="22">
        <f>IF(Notes!$B$2="June",ROUND('Budget by Source'!E63/10,0)+R63,ROUND('Budget by Source'!E63/10,0))</f>
        <v>9992</v>
      </c>
      <c r="F63" s="22">
        <f>IF(Notes!$B$2="June",ROUND('Budget by Source'!F63/10,0)+S63,ROUND('Budget by Source'!F63/10,0))</f>
        <v>7735</v>
      </c>
      <c r="G63" s="22">
        <f>IF(Notes!$B$2="June",ROUND('Budget by Source'!G63/10,0)+T63,ROUND('Budget by Source'!G63/10,0))</f>
        <v>41433</v>
      </c>
      <c r="H63" s="22">
        <f t="shared" si="0"/>
        <v>657723</v>
      </c>
      <c r="I63" s="22">
        <f>INDEX(Data[],MATCH($A63,Data[Dist],0),MATCH(I$5,Data[#Headers],0))</f>
        <v>806684</v>
      </c>
      <c r="K63" s="70">
        <f>INDEX('Payment Total'!$A$7:$H$336,MATCH('Payment by Source'!$A63,'Payment Total'!$A$7:$A$336,0),6)-I63</f>
        <v>0</v>
      </c>
      <c r="P63" s="158">
        <f>INDEX('Budget by Source'!$A$6:$I$335,MATCH('Payment by Source'!$A63,'Budget by Source'!$A$6:$A$335,0),MATCH(P$3,'Budget by Source'!$A$5:$I$5,0))-(ROUND(INDEX('Budget by Source'!$A$6:$I$335,MATCH('Payment by Source'!$A63,'Budget by Source'!$A$6:$A$335,0),MATCH(P$3,'Budget by Source'!$A$5:$I$5,0))/10,0)*10)</f>
        <v>4</v>
      </c>
      <c r="Q63" s="158">
        <f>INDEX('Budget by Source'!$A$6:$I$335,MATCH('Payment by Source'!$A63,'Budget by Source'!$A$6:$A$335,0),MATCH(Q$3,'Budget by Source'!$A$5:$I$5,0))-(ROUND(INDEX('Budget by Source'!$A$6:$I$335,MATCH('Payment by Source'!$A63,'Budget by Source'!$A$6:$A$335,0),MATCH(Q$3,'Budget by Source'!$A$5:$I$5,0))/10,0)*10)</f>
        <v>-5</v>
      </c>
      <c r="R63" s="158">
        <f>INDEX('Budget by Source'!$A$6:$I$335,MATCH('Payment by Source'!$A63,'Budget by Source'!$A$6:$A$335,0),MATCH(R$3,'Budget by Source'!$A$5:$I$5,0))-(ROUND(INDEX('Budget by Source'!$A$6:$I$335,MATCH('Payment by Source'!$A63,'Budget by Source'!$A$6:$A$335,0),MATCH(R$3,'Budget by Source'!$A$5:$I$5,0))/10,0)*10)</f>
        <v>-5</v>
      </c>
      <c r="S63" s="158">
        <f>INDEX('Budget by Source'!$A$6:$I$335,MATCH('Payment by Source'!$A63,'Budget by Source'!$A$6:$A$335,0),MATCH(S$3,'Budget by Source'!$A$5:$I$5,0))-(ROUND(INDEX('Budget by Source'!$A$6:$I$335,MATCH('Payment by Source'!$A63,'Budget by Source'!$A$6:$A$335,0),MATCH(S$3,'Budget by Source'!$A$5:$I$5,0))/10,0)*10)</f>
        <v>2</v>
      </c>
      <c r="T63" s="158">
        <f>INDEX('Budget by Source'!$A$6:$I$335,MATCH('Payment by Source'!$A63,'Budget by Source'!$A$6:$A$335,0),MATCH(T$3,'Budget by Source'!$A$5:$I$5,0))-(ROUND(INDEX('Budget by Source'!$A$6:$I$335,MATCH('Payment by Source'!$A63,'Budget by Source'!$A$6:$A$335,0),MATCH(T$3,'Budget by Source'!$A$5:$I$5,0))/10,0)*10)</f>
        <v>3</v>
      </c>
      <c r="U63" s="159">
        <f>INDEX('Budget by Source'!$A$6:$I$335,MATCH('Payment by Source'!$A63,'Budget by Source'!$A$6:$A$335,0),MATCH(U$3,'Budget by Source'!$A$5:$I$5,0))</f>
        <v>6597886</v>
      </c>
      <c r="V63" s="156">
        <f t="shared" si="1"/>
        <v>659789</v>
      </c>
      <c r="W63" s="156">
        <f t="shared" si="2"/>
        <v>6597890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23459</v>
      </c>
      <c r="D64" s="22">
        <f>IF(Notes!$B$2="June",ROUND('Budget by Source'!D64/10,0)+Q64,ROUND('Budget by Source'!D64/10,0))</f>
        <v>86858</v>
      </c>
      <c r="E64" s="22">
        <f>IF(Notes!$B$2="June",ROUND('Budget by Source'!E64/10,0)+R64,ROUND('Budget by Source'!E64/10,0))</f>
        <v>10126</v>
      </c>
      <c r="F64" s="22">
        <f>IF(Notes!$B$2="June",ROUND('Budget by Source'!F64/10,0)+S64,ROUND('Budget by Source'!F64/10,0))</f>
        <v>10259</v>
      </c>
      <c r="G64" s="22">
        <f>IF(Notes!$B$2="June",ROUND('Budget by Source'!G64/10,0)+T64,ROUND('Budget by Source'!G64/10,0))</f>
        <v>49026</v>
      </c>
      <c r="H64" s="22">
        <f t="shared" si="0"/>
        <v>728453</v>
      </c>
      <c r="I64" s="22">
        <f>INDEX(Data[],MATCH($A64,Data[Dist],0),MATCH(I$5,Data[#Headers],0))</f>
        <v>908181</v>
      </c>
      <c r="K64" s="70">
        <f>INDEX('Payment Total'!$A$7:$H$336,MATCH('Payment by Source'!$A64,'Payment Total'!$A$7:$A$336,0),6)-I64</f>
        <v>0</v>
      </c>
      <c r="P64" s="158">
        <f>INDEX('Budget by Source'!$A$6:$I$335,MATCH('Payment by Source'!$A64,'Budget by Source'!$A$6:$A$335,0),MATCH(P$3,'Budget by Source'!$A$5:$I$5,0))-(ROUND(INDEX('Budget by Source'!$A$6:$I$335,MATCH('Payment by Source'!$A64,'Budget by Source'!$A$6:$A$335,0),MATCH(P$3,'Budget by Source'!$A$5:$I$5,0))/10,0)*10)</f>
        <v>-1</v>
      </c>
      <c r="Q64" s="158">
        <f>INDEX('Budget by Source'!$A$6:$I$335,MATCH('Payment by Source'!$A64,'Budget by Source'!$A$6:$A$335,0),MATCH(Q$3,'Budget by Source'!$A$5:$I$5,0))-(ROUND(INDEX('Budget by Source'!$A$6:$I$335,MATCH('Payment by Source'!$A64,'Budget by Source'!$A$6:$A$335,0),MATCH(Q$3,'Budget by Source'!$A$5:$I$5,0))/10,0)*10)</f>
        <v>-2</v>
      </c>
      <c r="R64" s="158">
        <f>INDEX('Budget by Source'!$A$6:$I$335,MATCH('Payment by Source'!$A64,'Budget by Source'!$A$6:$A$335,0),MATCH(R$3,'Budget by Source'!$A$5:$I$5,0))-(ROUND(INDEX('Budget by Source'!$A$6:$I$335,MATCH('Payment by Source'!$A64,'Budget by Source'!$A$6:$A$335,0),MATCH(R$3,'Budget by Source'!$A$5:$I$5,0))/10,0)*10)</f>
        <v>0</v>
      </c>
      <c r="S64" s="158">
        <f>INDEX('Budget by Source'!$A$6:$I$335,MATCH('Payment by Source'!$A64,'Budget by Source'!$A$6:$A$335,0),MATCH(S$3,'Budget by Source'!$A$5:$I$5,0))-(ROUND(INDEX('Budget by Source'!$A$6:$I$335,MATCH('Payment by Source'!$A64,'Budget by Source'!$A$6:$A$335,0),MATCH(S$3,'Budget by Source'!$A$5:$I$5,0))/10,0)*10)</f>
        <v>-4</v>
      </c>
      <c r="T64" s="158">
        <f>INDEX('Budget by Source'!$A$6:$I$335,MATCH('Payment by Source'!$A64,'Budget by Source'!$A$6:$A$335,0),MATCH(T$3,'Budget by Source'!$A$5:$I$5,0))-(ROUND(INDEX('Budget by Source'!$A$6:$I$335,MATCH('Payment by Source'!$A64,'Budget by Source'!$A$6:$A$335,0),MATCH(T$3,'Budget by Source'!$A$5:$I$5,0))/10,0)*10)</f>
        <v>-5</v>
      </c>
      <c r="U64" s="159">
        <f>INDEX('Budget by Source'!$A$6:$I$335,MATCH('Payment by Source'!$A64,'Budget by Source'!$A$6:$A$335,0),MATCH(U$3,'Budget by Source'!$A$5:$I$5,0))</f>
        <v>7309435</v>
      </c>
      <c r="V64" s="156">
        <f t="shared" si="1"/>
        <v>730944</v>
      </c>
      <c r="W64" s="156">
        <f t="shared" si="2"/>
        <v>7309440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4692</v>
      </c>
      <c r="D65" s="22">
        <f>IF(Notes!$B$2="June",ROUND('Budget by Source'!D65/10,0)+Q65,ROUND('Budget by Source'!D65/10,0))</f>
        <v>17378</v>
      </c>
      <c r="E65" s="22">
        <f>IF(Notes!$B$2="June",ROUND('Budget by Source'!E65/10,0)+R65,ROUND('Budget by Source'!E65/10,0))</f>
        <v>1991</v>
      </c>
      <c r="F65" s="22">
        <f>IF(Notes!$B$2="June",ROUND('Budget by Source'!F65/10,0)+S65,ROUND('Budget by Source'!F65/10,0))</f>
        <v>1821</v>
      </c>
      <c r="G65" s="22">
        <f>IF(Notes!$B$2="June",ROUND('Budget by Source'!G65/10,0)+T65,ROUND('Budget by Source'!G65/10,0))</f>
        <v>8757</v>
      </c>
      <c r="H65" s="22">
        <f t="shared" si="0"/>
        <v>109742</v>
      </c>
      <c r="I65" s="22">
        <f>INDEX(Data[],MATCH($A65,Data[Dist],0),MATCH(I$5,Data[#Headers],0))</f>
        <v>144381</v>
      </c>
      <c r="K65" s="70">
        <f>INDEX('Payment Total'!$A$7:$H$336,MATCH('Payment by Source'!$A65,'Payment Total'!$A$7:$A$336,0),6)-I65</f>
        <v>0</v>
      </c>
      <c r="P65" s="158">
        <f>INDEX('Budget by Source'!$A$6:$I$335,MATCH('Payment by Source'!$A65,'Budget by Source'!$A$6:$A$335,0),MATCH(P$3,'Budget by Source'!$A$5:$I$5,0))-(ROUND(INDEX('Budget by Source'!$A$6:$I$335,MATCH('Payment by Source'!$A65,'Budget by Source'!$A$6:$A$335,0),MATCH(P$3,'Budget by Source'!$A$5:$I$5,0))/10,0)*10)</f>
        <v>0</v>
      </c>
      <c r="Q65" s="158">
        <f>INDEX('Budget by Source'!$A$6:$I$335,MATCH('Payment by Source'!$A65,'Budget by Source'!$A$6:$A$335,0),MATCH(Q$3,'Budget by Source'!$A$5:$I$5,0))-(ROUND(INDEX('Budget by Source'!$A$6:$I$335,MATCH('Payment by Source'!$A65,'Budget by Source'!$A$6:$A$335,0),MATCH(Q$3,'Budget by Source'!$A$5:$I$5,0))/10,0)*10)</f>
        <v>-5</v>
      </c>
      <c r="R65" s="158">
        <f>INDEX('Budget by Source'!$A$6:$I$335,MATCH('Payment by Source'!$A65,'Budget by Source'!$A$6:$A$335,0),MATCH(R$3,'Budget by Source'!$A$5:$I$5,0))-(ROUND(INDEX('Budget by Source'!$A$6:$I$335,MATCH('Payment by Source'!$A65,'Budget by Source'!$A$6:$A$335,0),MATCH(R$3,'Budget by Source'!$A$5:$I$5,0))/10,0)*10)</f>
        <v>-3</v>
      </c>
      <c r="S65" s="158">
        <f>INDEX('Budget by Source'!$A$6:$I$335,MATCH('Payment by Source'!$A65,'Budget by Source'!$A$6:$A$335,0),MATCH(S$3,'Budget by Source'!$A$5:$I$5,0))-(ROUND(INDEX('Budget by Source'!$A$6:$I$335,MATCH('Payment by Source'!$A65,'Budget by Source'!$A$6:$A$335,0),MATCH(S$3,'Budget by Source'!$A$5:$I$5,0))/10,0)*10)</f>
        <v>2</v>
      </c>
      <c r="T65" s="158">
        <f>INDEX('Budget by Source'!$A$6:$I$335,MATCH('Payment by Source'!$A65,'Budget by Source'!$A$6:$A$335,0),MATCH(T$3,'Budget by Source'!$A$5:$I$5,0))-(ROUND(INDEX('Budget by Source'!$A$6:$I$335,MATCH('Payment by Source'!$A65,'Budget by Source'!$A$6:$A$335,0),MATCH(T$3,'Budget by Source'!$A$5:$I$5,0))/10,0)*10)</f>
        <v>-4</v>
      </c>
      <c r="U65" s="159">
        <f>INDEX('Budget by Source'!$A$6:$I$335,MATCH('Payment by Source'!$A65,'Budget by Source'!$A$6:$A$335,0),MATCH(U$3,'Budget by Source'!$A$5:$I$5,0))</f>
        <v>1101651</v>
      </c>
      <c r="V65" s="156">
        <f t="shared" si="1"/>
        <v>110165</v>
      </c>
      <c r="W65" s="156">
        <f t="shared" si="2"/>
        <v>1101650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14748</v>
      </c>
      <c r="D66" s="22">
        <f>IF(Notes!$B$2="June",ROUND('Budget by Source'!D66/10,0)+Q66,ROUND('Budget by Source'!D66/10,0))</f>
        <v>57736</v>
      </c>
      <c r="E66" s="22">
        <f>IF(Notes!$B$2="June",ROUND('Budget by Source'!E66/10,0)+R66,ROUND('Budget by Source'!E66/10,0))</f>
        <v>6942</v>
      </c>
      <c r="F66" s="22">
        <f>IF(Notes!$B$2="June",ROUND('Budget by Source'!F66/10,0)+S66,ROUND('Budget by Source'!F66/10,0))</f>
        <v>6495</v>
      </c>
      <c r="G66" s="22">
        <f>IF(Notes!$B$2="June",ROUND('Budget by Source'!G66/10,0)+T66,ROUND('Budget by Source'!G66/10,0))</f>
        <v>31783</v>
      </c>
      <c r="H66" s="22">
        <f t="shared" si="0"/>
        <v>488135</v>
      </c>
      <c r="I66" s="22">
        <f>INDEX(Data[],MATCH($A66,Data[Dist],0),MATCH(I$5,Data[#Headers],0))</f>
        <v>605839</v>
      </c>
      <c r="K66" s="70">
        <f>INDEX('Payment Total'!$A$7:$H$336,MATCH('Payment by Source'!$A66,'Payment Total'!$A$7:$A$336,0),6)-I66</f>
        <v>0</v>
      </c>
      <c r="P66" s="158">
        <f>INDEX('Budget by Source'!$A$6:$I$335,MATCH('Payment by Source'!$A66,'Budget by Source'!$A$6:$A$335,0),MATCH(P$3,'Budget by Source'!$A$5:$I$5,0))-(ROUND(INDEX('Budget by Source'!$A$6:$I$335,MATCH('Payment by Source'!$A66,'Budget by Source'!$A$6:$A$335,0),MATCH(P$3,'Budget by Source'!$A$5:$I$5,0))/10,0)*10)</f>
        <v>2</v>
      </c>
      <c r="Q66" s="158">
        <f>INDEX('Budget by Source'!$A$6:$I$335,MATCH('Payment by Source'!$A66,'Budget by Source'!$A$6:$A$335,0),MATCH(Q$3,'Budget by Source'!$A$5:$I$5,0))-(ROUND(INDEX('Budget by Source'!$A$6:$I$335,MATCH('Payment by Source'!$A66,'Budget by Source'!$A$6:$A$335,0),MATCH(Q$3,'Budget by Source'!$A$5:$I$5,0))/10,0)*10)</f>
        <v>4</v>
      </c>
      <c r="R66" s="158">
        <f>INDEX('Budget by Source'!$A$6:$I$335,MATCH('Payment by Source'!$A66,'Budget by Source'!$A$6:$A$335,0),MATCH(R$3,'Budget by Source'!$A$5:$I$5,0))-(ROUND(INDEX('Budget by Source'!$A$6:$I$335,MATCH('Payment by Source'!$A66,'Budget by Source'!$A$6:$A$335,0),MATCH(R$3,'Budget by Source'!$A$5:$I$5,0))/10,0)*10)</f>
        <v>0</v>
      </c>
      <c r="S66" s="158">
        <f>INDEX('Budget by Source'!$A$6:$I$335,MATCH('Payment by Source'!$A66,'Budget by Source'!$A$6:$A$335,0),MATCH(S$3,'Budget by Source'!$A$5:$I$5,0))-(ROUND(INDEX('Budget by Source'!$A$6:$I$335,MATCH('Payment by Source'!$A66,'Budget by Source'!$A$6:$A$335,0),MATCH(S$3,'Budget by Source'!$A$5:$I$5,0))/10,0)*10)</f>
        <v>2</v>
      </c>
      <c r="T66" s="158">
        <f>INDEX('Budget by Source'!$A$6:$I$335,MATCH('Payment by Source'!$A66,'Budget by Source'!$A$6:$A$335,0),MATCH(T$3,'Budget by Source'!$A$5:$I$5,0))-(ROUND(INDEX('Budget by Source'!$A$6:$I$335,MATCH('Payment by Source'!$A66,'Budget by Source'!$A$6:$A$335,0),MATCH(T$3,'Budget by Source'!$A$5:$I$5,0))/10,0)*10)</f>
        <v>-2</v>
      </c>
      <c r="U66" s="159">
        <f>INDEX('Budget by Source'!$A$6:$I$335,MATCH('Payment by Source'!$A66,'Budget by Source'!$A$6:$A$335,0),MATCH(U$3,'Budget by Source'!$A$5:$I$5,0))</f>
        <v>4897616</v>
      </c>
      <c r="V66" s="156">
        <f t="shared" si="1"/>
        <v>489762</v>
      </c>
      <c r="W66" s="156">
        <f t="shared" si="2"/>
        <v>4897620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9047</v>
      </c>
      <c r="D67" s="22">
        <f>IF(Notes!$B$2="June",ROUND('Budget by Source'!D67/10,0)+Q67,ROUND('Budget by Source'!D67/10,0))</f>
        <v>54875</v>
      </c>
      <c r="E67" s="22">
        <f>IF(Notes!$B$2="June",ROUND('Budget by Source'!E67/10,0)+R67,ROUND('Budget by Source'!E67/10,0))</f>
        <v>6049</v>
      </c>
      <c r="F67" s="22">
        <f>IF(Notes!$B$2="June",ROUND('Budget by Source'!F67/10,0)+S67,ROUND('Budget by Source'!F67/10,0))</f>
        <v>5178</v>
      </c>
      <c r="G67" s="22">
        <f>IF(Notes!$B$2="June",ROUND('Budget by Source'!G67/10,0)+T67,ROUND('Budget by Source'!G67/10,0))</f>
        <v>31981</v>
      </c>
      <c r="H67" s="22">
        <f t="shared" si="0"/>
        <v>456846</v>
      </c>
      <c r="I67" s="22">
        <f>INDEX(Data[],MATCH($A67,Data[Dist],0),MATCH(I$5,Data[#Headers],0))</f>
        <v>563976</v>
      </c>
      <c r="K67" s="70">
        <f>INDEX('Payment Total'!$A$7:$H$336,MATCH('Payment by Source'!$A67,'Payment Total'!$A$7:$A$336,0),6)-I67</f>
        <v>0</v>
      </c>
      <c r="P67" s="158">
        <f>INDEX('Budget by Source'!$A$6:$I$335,MATCH('Payment by Source'!$A67,'Budget by Source'!$A$6:$A$335,0),MATCH(P$3,'Budget by Source'!$A$5:$I$5,0))-(ROUND(INDEX('Budget by Source'!$A$6:$I$335,MATCH('Payment by Source'!$A67,'Budget by Source'!$A$6:$A$335,0),MATCH(P$3,'Budget by Source'!$A$5:$I$5,0))/10,0)*10)</f>
        <v>-2</v>
      </c>
      <c r="Q67" s="158">
        <f>INDEX('Budget by Source'!$A$6:$I$335,MATCH('Payment by Source'!$A67,'Budget by Source'!$A$6:$A$335,0),MATCH(Q$3,'Budget by Source'!$A$5:$I$5,0))-(ROUND(INDEX('Budget by Source'!$A$6:$I$335,MATCH('Payment by Source'!$A67,'Budget by Source'!$A$6:$A$335,0),MATCH(Q$3,'Budget by Source'!$A$5:$I$5,0))/10,0)*10)</f>
        <v>-3</v>
      </c>
      <c r="R67" s="158">
        <f>INDEX('Budget by Source'!$A$6:$I$335,MATCH('Payment by Source'!$A67,'Budget by Source'!$A$6:$A$335,0),MATCH(R$3,'Budget by Source'!$A$5:$I$5,0))-(ROUND(INDEX('Budget by Source'!$A$6:$I$335,MATCH('Payment by Source'!$A67,'Budget by Source'!$A$6:$A$335,0),MATCH(R$3,'Budget by Source'!$A$5:$I$5,0))/10,0)*10)</f>
        <v>-3</v>
      </c>
      <c r="S67" s="158">
        <f>INDEX('Budget by Source'!$A$6:$I$335,MATCH('Payment by Source'!$A67,'Budget by Source'!$A$6:$A$335,0),MATCH(S$3,'Budget by Source'!$A$5:$I$5,0))-(ROUND(INDEX('Budget by Source'!$A$6:$I$335,MATCH('Payment by Source'!$A67,'Budget by Source'!$A$6:$A$335,0),MATCH(S$3,'Budget by Source'!$A$5:$I$5,0))/10,0)*10)</f>
        <v>1</v>
      </c>
      <c r="T67" s="158">
        <f>INDEX('Budget by Source'!$A$6:$I$335,MATCH('Payment by Source'!$A67,'Budget by Source'!$A$6:$A$335,0),MATCH(T$3,'Budget by Source'!$A$5:$I$5,0))-(ROUND(INDEX('Budget by Source'!$A$6:$I$335,MATCH('Payment by Source'!$A67,'Budget by Source'!$A$6:$A$335,0),MATCH(T$3,'Budget by Source'!$A$5:$I$5,0))/10,0)*10)</f>
        <v>4</v>
      </c>
      <c r="U67" s="159">
        <f>INDEX('Budget by Source'!$A$6:$I$335,MATCH('Payment by Source'!$A67,'Budget by Source'!$A$6:$A$335,0),MATCH(U$3,'Budget by Source'!$A$5:$I$5,0))</f>
        <v>4584745</v>
      </c>
      <c r="V67" s="156">
        <f t="shared" si="1"/>
        <v>458475</v>
      </c>
      <c r="W67" s="156">
        <f t="shared" si="2"/>
        <v>4584750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17431</v>
      </c>
      <c r="D68" s="22">
        <f>IF(Notes!$B$2="June",ROUND('Budget by Source'!D68/10,0)+Q68,ROUND('Budget by Source'!D68/10,0))</f>
        <v>56498</v>
      </c>
      <c r="E68" s="22">
        <f>IF(Notes!$B$2="June",ROUND('Budget by Source'!E68/10,0)+R68,ROUND('Budget by Source'!E68/10,0))</f>
        <v>6941</v>
      </c>
      <c r="F68" s="22">
        <f>IF(Notes!$B$2="June",ROUND('Budget by Source'!F68/10,0)+S68,ROUND('Budget by Source'!F68/10,0))</f>
        <v>6363</v>
      </c>
      <c r="G68" s="22">
        <f>IF(Notes!$B$2="June",ROUND('Budget by Source'!G68/10,0)+T68,ROUND('Budget by Source'!G68/10,0))</f>
        <v>31246</v>
      </c>
      <c r="H68" s="22">
        <f t="shared" si="0"/>
        <v>375021</v>
      </c>
      <c r="I68" s="22">
        <f>INDEX(Data[],MATCH($A68,Data[Dist],0),MATCH(I$5,Data[#Headers],0))</f>
        <v>493500</v>
      </c>
      <c r="K68" s="70">
        <f>INDEX('Payment Total'!$A$7:$H$336,MATCH('Payment by Source'!$A68,'Payment Total'!$A$7:$A$336,0),6)-I68</f>
        <v>0</v>
      </c>
      <c r="P68" s="158">
        <f>INDEX('Budget by Source'!$A$6:$I$335,MATCH('Payment by Source'!$A68,'Budget by Source'!$A$6:$A$335,0),MATCH(P$3,'Budget by Source'!$A$5:$I$5,0))-(ROUND(INDEX('Budget by Source'!$A$6:$I$335,MATCH('Payment by Source'!$A68,'Budget by Source'!$A$6:$A$335,0),MATCH(P$3,'Budget by Source'!$A$5:$I$5,0))/10,0)*10)</f>
        <v>4</v>
      </c>
      <c r="Q68" s="158">
        <f>INDEX('Budget by Source'!$A$6:$I$335,MATCH('Payment by Source'!$A68,'Budget by Source'!$A$6:$A$335,0),MATCH(Q$3,'Budget by Source'!$A$5:$I$5,0))-(ROUND(INDEX('Budget by Source'!$A$6:$I$335,MATCH('Payment by Source'!$A68,'Budget by Source'!$A$6:$A$335,0),MATCH(Q$3,'Budget by Source'!$A$5:$I$5,0))/10,0)*10)</f>
        <v>-3</v>
      </c>
      <c r="R68" s="158">
        <f>INDEX('Budget by Source'!$A$6:$I$335,MATCH('Payment by Source'!$A68,'Budget by Source'!$A$6:$A$335,0),MATCH(R$3,'Budget by Source'!$A$5:$I$5,0))-(ROUND(INDEX('Budget by Source'!$A$6:$I$335,MATCH('Payment by Source'!$A68,'Budget by Source'!$A$6:$A$335,0),MATCH(R$3,'Budget by Source'!$A$5:$I$5,0))/10,0)*10)</f>
        <v>-2</v>
      </c>
      <c r="S68" s="158">
        <f>INDEX('Budget by Source'!$A$6:$I$335,MATCH('Payment by Source'!$A68,'Budget by Source'!$A$6:$A$335,0),MATCH(S$3,'Budget by Source'!$A$5:$I$5,0))-(ROUND(INDEX('Budget by Source'!$A$6:$I$335,MATCH('Payment by Source'!$A68,'Budget by Source'!$A$6:$A$335,0),MATCH(S$3,'Budget by Source'!$A$5:$I$5,0))/10,0)*10)</f>
        <v>-3</v>
      </c>
      <c r="T68" s="158">
        <f>INDEX('Budget by Source'!$A$6:$I$335,MATCH('Payment by Source'!$A68,'Budget by Source'!$A$6:$A$335,0),MATCH(T$3,'Budget by Source'!$A$5:$I$5,0))-(ROUND(INDEX('Budget by Source'!$A$6:$I$335,MATCH('Payment by Source'!$A68,'Budget by Source'!$A$6:$A$335,0),MATCH(T$3,'Budget by Source'!$A$5:$I$5,0))/10,0)*10)</f>
        <v>-5</v>
      </c>
      <c r="U68" s="159">
        <f>INDEX('Budget by Source'!$A$6:$I$335,MATCH('Payment by Source'!$A68,'Budget by Source'!$A$6:$A$335,0),MATCH(U$3,'Budget by Source'!$A$5:$I$5,0))</f>
        <v>3765853</v>
      </c>
      <c r="V68" s="156">
        <f t="shared" si="1"/>
        <v>376585</v>
      </c>
      <c r="W68" s="156">
        <f t="shared" si="2"/>
        <v>3765850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17758</v>
      </c>
      <c r="D69" s="22">
        <f>IF(Notes!$B$2="June",ROUND('Budget by Source'!D69/10,0)+Q69,ROUND('Budget by Source'!D69/10,0))</f>
        <v>84615</v>
      </c>
      <c r="E69" s="22">
        <f>IF(Notes!$B$2="June",ROUND('Budget by Source'!E69/10,0)+R69,ROUND('Budget by Source'!E69/10,0))</f>
        <v>11101</v>
      </c>
      <c r="F69" s="22">
        <f>IF(Notes!$B$2="June",ROUND('Budget by Source'!F69/10,0)+S69,ROUND('Budget by Source'!F69/10,0))</f>
        <v>8737</v>
      </c>
      <c r="G69" s="22">
        <f>IF(Notes!$B$2="June",ROUND('Budget by Source'!G69/10,0)+T69,ROUND('Budget by Source'!G69/10,0))</f>
        <v>47655</v>
      </c>
      <c r="H69" s="22">
        <f t="shared" si="0"/>
        <v>827084</v>
      </c>
      <c r="I69" s="22">
        <f>INDEX(Data[],MATCH($A69,Data[Dist],0),MATCH(I$5,Data[#Headers],0))</f>
        <v>996950</v>
      </c>
      <c r="K69" s="70">
        <f>INDEX('Payment Total'!$A$7:$H$336,MATCH('Payment by Source'!$A69,'Payment Total'!$A$7:$A$336,0),6)-I69</f>
        <v>0</v>
      </c>
      <c r="P69" s="158">
        <f>INDEX('Budget by Source'!$A$6:$I$335,MATCH('Payment by Source'!$A69,'Budget by Source'!$A$6:$A$335,0),MATCH(P$3,'Budget by Source'!$A$5:$I$5,0))-(ROUND(INDEX('Budget by Source'!$A$6:$I$335,MATCH('Payment by Source'!$A69,'Budget by Source'!$A$6:$A$335,0),MATCH(P$3,'Budget by Source'!$A$5:$I$5,0))/10,0)*10)</f>
        <v>-5</v>
      </c>
      <c r="Q69" s="158">
        <f>INDEX('Budget by Source'!$A$6:$I$335,MATCH('Payment by Source'!$A69,'Budget by Source'!$A$6:$A$335,0),MATCH(Q$3,'Budget by Source'!$A$5:$I$5,0))-(ROUND(INDEX('Budget by Source'!$A$6:$I$335,MATCH('Payment by Source'!$A69,'Budget by Source'!$A$6:$A$335,0),MATCH(Q$3,'Budget by Source'!$A$5:$I$5,0))/10,0)*10)</f>
        <v>-1</v>
      </c>
      <c r="R69" s="158">
        <f>INDEX('Budget by Source'!$A$6:$I$335,MATCH('Payment by Source'!$A69,'Budget by Source'!$A$6:$A$335,0),MATCH(R$3,'Budget by Source'!$A$5:$I$5,0))-(ROUND(INDEX('Budget by Source'!$A$6:$I$335,MATCH('Payment by Source'!$A69,'Budget by Source'!$A$6:$A$335,0),MATCH(R$3,'Budget by Source'!$A$5:$I$5,0))/10,0)*10)</f>
        <v>-4</v>
      </c>
      <c r="S69" s="158">
        <f>INDEX('Budget by Source'!$A$6:$I$335,MATCH('Payment by Source'!$A69,'Budget by Source'!$A$6:$A$335,0),MATCH(S$3,'Budget by Source'!$A$5:$I$5,0))-(ROUND(INDEX('Budget by Source'!$A$6:$I$335,MATCH('Payment by Source'!$A69,'Budget by Source'!$A$6:$A$335,0),MATCH(S$3,'Budget by Source'!$A$5:$I$5,0))/10,0)*10)</f>
        <v>-5</v>
      </c>
      <c r="T69" s="158">
        <f>INDEX('Budget by Source'!$A$6:$I$335,MATCH('Payment by Source'!$A69,'Budget by Source'!$A$6:$A$335,0),MATCH(T$3,'Budget by Source'!$A$5:$I$5,0))-(ROUND(INDEX('Budget by Source'!$A$6:$I$335,MATCH('Payment by Source'!$A69,'Budget by Source'!$A$6:$A$335,0),MATCH(T$3,'Budget by Source'!$A$5:$I$5,0))/10,0)*10)</f>
        <v>-1</v>
      </c>
      <c r="U69" s="159">
        <f>INDEX('Budget by Source'!$A$6:$I$335,MATCH('Payment by Source'!$A69,'Budget by Source'!$A$6:$A$335,0),MATCH(U$3,'Budget by Source'!$A$5:$I$5,0))</f>
        <v>8295022</v>
      </c>
      <c r="V69" s="156">
        <f t="shared" si="1"/>
        <v>829502</v>
      </c>
      <c r="W69" s="156">
        <f t="shared" si="2"/>
        <v>8295020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5365</v>
      </c>
      <c r="D70" s="22">
        <f>IF(Notes!$B$2="June",ROUND('Budget by Source'!D70/10,0)+Q70,ROUND('Budget by Source'!D70/10,0))</f>
        <v>21621</v>
      </c>
      <c r="E70" s="22">
        <f>IF(Notes!$B$2="June",ROUND('Budget by Source'!E70/10,0)+R70,ROUND('Budget by Source'!E70/10,0))</f>
        <v>2370</v>
      </c>
      <c r="F70" s="22">
        <f>IF(Notes!$B$2="June",ROUND('Budget by Source'!F70/10,0)+S70,ROUND('Budget by Source'!F70/10,0))</f>
        <v>2309</v>
      </c>
      <c r="G70" s="22">
        <f>IF(Notes!$B$2="June",ROUND('Budget by Source'!G70/10,0)+T70,ROUND('Budget by Source'!G70/10,0))</f>
        <v>10535</v>
      </c>
      <c r="H70" s="22">
        <f t="shared" si="0"/>
        <v>164595</v>
      </c>
      <c r="I70" s="22">
        <f>INDEX(Data[],MATCH($A70,Data[Dist],0),MATCH(I$5,Data[#Headers],0))</f>
        <v>206795</v>
      </c>
      <c r="K70" s="70">
        <f>INDEX('Payment Total'!$A$7:$H$336,MATCH('Payment by Source'!$A70,'Payment Total'!$A$7:$A$336,0),6)-I70</f>
        <v>0</v>
      </c>
      <c r="P70" s="158">
        <f>INDEX('Budget by Source'!$A$6:$I$335,MATCH('Payment by Source'!$A70,'Budget by Source'!$A$6:$A$335,0),MATCH(P$3,'Budget by Source'!$A$5:$I$5,0))-(ROUND(INDEX('Budget by Source'!$A$6:$I$335,MATCH('Payment by Source'!$A70,'Budget by Source'!$A$6:$A$335,0),MATCH(P$3,'Budget by Source'!$A$5:$I$5,0))/10,0)*10)</f>
        <v>3</v>
      </c>
      <c r="Q70" s="158">
        <f>INDEX('Budget by Source'!$A$6:$I$335,MATCH('Payment by Source'!$A70,'Budget by Source'!$A$6:$A$335,0),MATCH(Q$3,'Budget by Source'!$A$5:$I$5,0))-(ROUND(INDEX('Budget by Source'!$A$6:$I$335,MATCH('Payment by Source'!$A70,'Budget by Source'!$A$6:$A$335,0),MATCH(Q$3,'Budget by Source'!$A$5:$I$5,0))/10,0)*10)</f>
        <v>0</v>
      </c>
      <c r="R70" s="158">
        <f>INDEX('Budget by Source'!$A$6:$I$335,MATCH('Payment by Source'!$A70,'Budget by Source'!$A$6:$A$335,0),MATCH(R$3,'Budget by Source'!$A$5:$I$5,0))-(ROUND(INDEX('Budget by Source'!$A$6:$I$335,MATCH('Payment by Source'!$A70,'Budget by Source'!$A$6:$A$335,0),MATCH(R$3,'Budget by Source'!$A$5:$I$5,0))/10,0)*10)</f>
        <v>-4</v>
      </c>
      <c r="S70" s="158">
        <f>INDEX('Budget by Source'!$A$6:$I$335,MATCH('Payment by Source'!$A70,'Budget by Source'!$A$6:$A$335,0),MATCH(S$3,'Budget by Source'!$A$5:$I$5,0))-(ROUND(INDEX('Budget by Source'!$A$6:$I$335,MATCH('Payment by Source'!$A70,'Budget by Source'!$A$6:$A$335,0),MATCH(S$3,'Budget by Source'!$A$5:$I$5,0))/10,0)*10)</f>
        <v>-3</v>
      </c>
      <c r="T70" s="158">
        <f>INDEX('Budget by Source'!$A$6:$I$335,MATCH('Payment by Source'!$A70,'Budget by Source'!$A$6:$A$335,0),MATCH(T$3,'Budget by Source'!$A$5:$I$5,0))-(ROUND(INDEX('Budget by Source'!$A$6:$I$335,MATCH('Payment by Source'!$A70,'Budget by Source'!$A$6:$A$335,0),MATCH(T$3,'Budget by Source'!$A$5:$I$5,0))/10,0)*10)</f>
        <v>-4</v>
      </c>
      <c r="U70" s="159">
        <f>INDEX('Budget by Source'!$A$6:$I$335,MATCH('Payment by Source'!$A70,'Budget by Source'!$A$6:$A$335,0),MATCH(U$3,'Budget by Source'!$A$5:$I$5,0))</f>
        <v>1651126</v>
      </c>
      <c r="V70" s="156">
        <f t="shared" si="1"/>
        <v>165113</v>
      </c>
      <c r="W70" s="156">
        <f t="shared" si="2"/>
        <v>1651130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3683</v>
      </c>
      <c r="D71" s="22">
        <f>IF(Notes!$B$2="June",ROUND('Budget by Source'!D71/10,0)+Q71,ROUND('Budget by Source'!D71/10,0))</f>
        <v>21963</v>
      </c>
      <c r="E71" s="22">
        <f>IF(Notes!$B$2="June",ROUND('Budget by Source'!E71/10,0)+R71,ROUND('Budget by Source'!E71/10,0))</f>
        <v>2201</v>
      </c>
      <c r="F71" s="22">
        <f>IF(Notes!$B$2="June",ROUND('Budget by Source'!F71/10,0)+S71,ROUND('Budget by Source'!F71/10,0))</f>
        <v>2413</v>
      </c>
      <c r="G71" s="22">
        <f>IF(Notes!$B$2="June",ROUND('Budget by Source'!G71/10,0)+T71,ROUND('Budget by Source'!G71/10,0))</f>
        <v>11248</v>
      </c>
      <c r="H71" s="22">
        <f t="shared" ref="H71:H134" si="3">I71-SUM(C71:G71)</f>
        <v>88425</v>
      </c>
      <c r="I71" s="22">
        <f>INDEX(Data[],MATCH($A71,Data[Dist],0),MATCH(I$5,Data[#Headers],0))</f>
        <v>129933</v>
      </c>
      <c r="K71" s="70">
        <f>INDEX('Payment Total'!$A$7:$H$336,MATCH('Payment by Source'!$A71,'Payment Total'!$A$7:$A$336,0),6)-I71</f>
        <v>0</v>
      </c>
      <c r="P71" s="158">
        <f>INDEX('Budget by Source'!$A$6:$I$335,MATCH('Payment by Source'!$A71,'Budget by Source'!$A$6:$A$335,0),MATCH(P$3,'Budget by Source'!$A$5:$I$5,0))-(ROUND(INDEX('Budget by Source'!$A$6:$I$335,MATCH('Payment by Source'!$A71,'Budget by Source'!$A$6:$A$335,0),MATCH(P$3,'Budget by Source'!$A$5:$I$5,0))/10,0)*10)</f>
        <v>-4</v>
      </c>
      <c r="Q71" s="158">
        <f>INDEX('Budget by Source'!$A$6:$I$335,MATCH('Payment by Source'!$A71,'Budget by Source'!$A$6:$A$335,0),MATCH(Q$3,'Budget by Source'!$A$5:$I$5,0))-(ROUND(INDEX('Budget by Source'!$A$6:$I$335,MATCH('Payment by Source'!$A71,'Budget by Source'!$A$6:$A$335,0),MATCH(Q$3,'Budget by Source'!$A$5:$I$5,0))/10,0)*10)</f>
        <v>-5</v>
      </c>
      <c r="R71" s="158">
        <f>INDEX('Budget by Source'!$A$6:$I$335,MATCH('Payment by Source'!$A71,'Budget by Source'!$A$6:$A$335,0),MATCH(R$3,'Budget by Source'!$A$5:$I$5,0))-(ROUND(INDEX('Budget by Source'!$A$6:$I$335,MATCH('Payment by Source'!$A71,'Budget by Source'!$A$6:$A$335,0),MATCH(R$3,'Budget by Source'!$A$5:$I$5,0))/10,0)*10)</f>
        <v>1</v>
      </c>
      <c r="S71" s="158">
        <f>INDEX('Budget by Source'!$A$6:$I$335,MATCH('Payment by Source'!$A71,'Budget by Source'!$A$6:$A$335,0),MATCH(S$3,'Budget by Source'!$A$5:$I$5,0))-(ROUND(INDEX('Budget by Source'!$A$6:$I$335,MATCH('Payment by Source'!$A71,'Budget by Source'!$A$6:$A$335,0),MATCH(S$3,'Budget by Source'!$A$5:$I$5,0))/10,0)*10)</f>
        <v>-2</v>
      </c>
      <c r="T71" s="158">
        <f>INDEX('Budget by Source'!$A$6:$I$335,MATCH('Payment by Source'!$A71,'Budget by Source'!$A$6:$A$335,0),MATCH(T$3,'Budget by Source'!$A$5:$I$5,0))-(ROUND(INDEX('Budget by Source'!$A$6:$I$335,MATCH('Payment by Source'!$A71,'Budget by Source'!$A$6:$A$335,0),MATCH(T$3,'Budget by Source'!$A$5:$I$5,0))/10,0)*10)</f>
        <v>-2</v>
      </c>
      <c r="U71" s="159">
        <f>INDEX('Budget by Source'!$A$6:$I$335,MATCH('Payment by Source'!$A71,'Budget by Source'!$A$6:$A$335,0),MATCH(U$3,'Budget by Source'!$A$5:$I$5,0))</f>
        <v>889663</v>
      </c>
      <c r="V71" s="156">
        <f t="shared" ref="V71:V134" si="4">ROUND(U71/10,0)</f>
        <v>88966</v>
      </c>
      <c r="W71" s="156">
        <f t="shared" ref="W71:W134" si="5">V71*10</f>
        <v>889660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50610</v>
      </c>
      <c r="D72" s="22">
        <f>IF(Notes!$B$2="June",ROUND('Budget by Source'!D72/10,0)+Q72,ROUND('Budget by Source'!D72/10,0))</f>
        <v>127662</v>
      </c>
      <c r="E72" s="22">
        <f>IF(Notes!$B$2="June",ROUND('Budget by Source'!E72/10,0)+R72,ROUND('Budget by Source'!E72/10,0))</f>
        <v>12565</v>
      </c>
      <c r="F72" s="22">
        <f>IF(Notes!$B$2="June",ROUND('Budget by Source'!F72/10,0)+S72,ROUND('Budget by Source'!F72/10,0))</f>
        <v>13880</v>
      </c>
      <c r="G72" s="22">
        <f>IF(Notes!$B$2="June",ROUND('Budget by Source'!G72/10,0)+T72,ROUND('Budget by Source'!G72/10,0))</f>
        <v>71559</v>
      </c>
      <c r="H72" s="22">
        <f t="shared" si="3"/>
        <v>834482</v>
      </c>
      <c r="I72" s="22">
        <f>INDEX(Data[],MATCH($A72,Data[Dist],0),MATCH(I$5,Data[#Headers],0))</f>
        <v>1110758</v>
      </c>
      <c r="K72" s="70">
        <f>INDEX('Payment Total'!$A$7:$H$336,MATCH('Payment by Source'!$A72,'Payment Total'!$A$7:$A$336,0),6)-I72</f>
        <v>0</v>
      </c>
      <c r="P72" s="158">
        <f>INDEX('Budget by Source'!$A$6:$I$335,MATCH('Payment by Source'!$A72,'Budget by Source'!$A$6:$A$335,0),MATCH(P$3,'Budget by Source'!$A$5:$I$5,0))-(ROUND(INDEX('Budget by Source'!$A$6:$I$335,MATCH('Payment by Source'!$A72,'Budget by Source'!$A$6:$A$335,0),MATCH(P$3,'Budget by Source'!$A$5:$I$5,0))/10,0)*10)</f>
        <v>4</v>
      </c>
      <c r="Q72" s="158">
        <f>INDEX('Budget by Source'!$A$6:$I$335,MATCH('Payment by Source'!$A72,'Budget by Source'!$A$6:$A$335,0),MATCH(Q$3,'Budget by Source'!$A$5:$I$5,0))-(ROUND(INDEX('Budget by Source'!$A$6:$I$335,MATCH('Payment by Source'!$A72,'Budget by Source'!$A$6:$A$335,0),MATCH(Q$3,'Budget by Source'!$A$5:$I$5,0))/10,0)*10)</f>
        <v>-5</v>
      </c>
      <c r="R72" s="158">
        <f>INDEX('Budget by Source'!$A$6:$I$335,MATCH('Payment by Source'!$A72,'Budget by Source'!$A$6:$A$335,0),MATCH(R$3,'Budget by Source'!$A$5:$I$5,0))-(ROUND(INDEX('Budget by Source'!$A$6:$I$335,MATCH('Payment by Source'!$A72,'Budget by Source'!$A$6:$A$335,0),MATCH(R$3,'Budget by Source'!$A$5:$I$5,0))/10,0)*10)</f>
        <v>0</v>
      </c>
      <c r="S72" s="158">
        <f>INDEX('Budget by Source'!$A$6:$I$335,MATCH('Payment by Source'!$A72,'Budget by Source'!$A$6:$A$335,0),MATCH(S$3,'Budget by Source'!$A$5:$I$5,0))-(ROUND(INDEX('Budget by Source'!$A$6:$I$335,MATCH('Payment by Source'!$A72,'Budget by Source'!$A$6:$A$335,0),MATCH(S$3,'Budget by Source'!$A$5:$I$5,0))/10,0)*10)</f>
        <v>0</v>
      </c>
      <c r="T72" s="158">
        <f>INDEX('Budget by Source'!$A$6:$I$335,MATCH('Payment by Source'!$A72,'Budget by Source'!$A$6:$A$335,0),MATCH(T$3,'Budget by Source'!$A$5:$I$5,0))-(ROUND(INDEX('Budget by Source'!$A$6:$I$335,MATCH('Payment by Source'!$A72,'Budget by Source'!$A$6:$A$335,0),MATCH(T$3,'Budget by Source'!$A$5:$I$5,0))/10,0)*10)</f>
        <v>0</v>
      </c>
      <c r="U72" s="159">
        <f>INDEX('Budget by Source'!$A$6:$I$335,MATCH('Payment by Source'!$A72,'Budget by Source'!$A$6:$A$335,0),MATCH(U$3,'Budget by Source'!$A$5:$I$5,0))</f>
        <v>8381298</v>
      </c>
      <c r="V72" s="156">
        <f t="shared" si="4"/>
        <v>838130</v>
      </c>
      <c r="W72" s="156">
        <f t="shared" si="5"/>
        <v>8381300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26141</v>
      </c>
      <c r="D73" s="22">
        <f>IF(Notes!$B$2="June",ROUND('Budget by Source'!D73/10,0)+Q73,ROUND('Budget by Source'!D73/10,0))</f>
        <v>68930</v>
      </c>
      <c r="E73" s="22">
        <f>IF(Notes!$B$2="June",ROUND('Budget by Source'!E73/10,0)+R73,ROUND('Budget by Source'!E73/10,0))</f>
        <v>7898</v>
      </c>
      <c r="F73" s="22">
        <f>IF(Notes!$B$2="June",ROUND('Budget by Source'!F73/10,0)+S73,ROUND('Budget by Source'!F73/10,0))</f>
        <v>7573</v>
      </c>
      <c r="G73" s="22">
        <f>IF(Notes!$B$2="June",ROUND('Budget by Source'!G73/10,0)+T73,ROUND('Budget by Source'!G73/10,0))</f>
        <v>40285</v>
      </c>
      <c r="H73" s="22">
        <f t="shared" si="3"/>
        <v>392560</v>
      </c>
      <c r="I73" s="22">
        <f>INDEX(Data[],MATCH($A73,Data[Dist],0),MATCH(I$5,Data[#Headers],0))</f>
        <v>543387</v>
      </c>
      <c r="K73" s="70">
        <f>INDEX('Payment Total'!$A$7:$H$336,MATCH('Payment by Source'!$A73,'Payment Total'!$A$7:$A$336,0),6)-I73</f>
        <v>0</v>
      </c>
      <c r="P73" s="158">
        <f>INDEX('Budget by Source'!$A$6:$I$335,MATCH('Payment by Source'!$A73,'Budget by Source'!$A$6:$A$335,0),MATCH(P$3,'Budget by Source'!$A$5:$I$5,0))-(ROUND(INDEX('Budget by Source'!$A$6:$I$335,MATCH('Payment by Source'!$A73,'Budget by Source'!$A$6:$A$335,0),MATCH(P$3,'Budget by Source'!$A$5:$I$5,0))/10,0)*10)</f>
        <v>0</v>
      </c>
      <c r="Q73" s="158">
        <f>INDEX('Budget by Source'!$A$6:$I$335,MATCH('Payment by Source'!$A73,'Budget by Source'!$A$6:$A$335,0),MATCH(Q$3,'Budget by Source'!$A$5:$I$5,0))-(ROUND(INDEX('Budget by Source'!$A$6:$I$335,MATCH('Payment by Source'!$A73,'Budget by Source'!$A$6:$A$335,0),MATCH(Q$3,'Budget by Source'!$A$5:$I$5,0))/10,0)*10)</f>
        <v>-2</v>
      </c>
      <c r="R73" s="158">
        <f>INDEX('Budget by Source'!$A$6:$I$335,MATCH('Payment by Source'!$A73,'Budget by Source'!$A$6:$A$335,0),MATCH(R$3,'Budget by Source'!$A$5:$I$5,0))-(ROUND(INDEX('Budget by Source'!$A$6:$I$335,MATCH('Payment by Source'!$A73,'Budget by Source'!$A$6:$A$335,0),MATCH(R$3,'Budget by Source'!$A$5:$I$5,0))/10,0)*10)</f>
        <v>-3</v>
      </c>
      <c r="S73" s="158">
        <f>INDEX('Budget by Source'!$A$6:$I$335,MATCH('Payment by Source'!$A73,'Budget by Source'!$A$6:$A$335,0),MATCH(S$3,'Budget by Source'!$A$5:$I$5,0))-(ROUND(INDEX('Budget by Source'!$A$6:$I$335,MATCH('Payment by Source'!$A73,'Budget by Source'!$A$6:$A$335,0),MATCH(S$3,'Budget by Source'!$A$5:$I$5,0))/10,0)*10)</f>
        <v>2</v>
      </c>
      <c r="T73" s="158">
        <f>INDEX('Budget by Source'!$A$6:$I$335,MATCH('Payment by Source'!$A73,'Budget by Source'!$A$6:$A$335,0),MATCH(T$3,'Budget by Source'!$A$5:$I$5,0))-(ROUND(INDEX('Budget by Source'!$A$6:$I$335,MATCH('Payment by Source'!$A73,'Budget by Source'!$A$6:$A$335,0),MATCH(T$3,'Budget by Source'!$A$5:$I$5,0))/10,0)*10)</f>
        <v>-2</v>
      </c>
      <c r="U73" s="159">
        <f>INDEX('Budget by Source'!$A$6:$I$335,MATCH('Payment by Source'!$A73,'Budget by Source'!$A$6:$A$335,0),MATCH(U$3,'Budget by Source'!$A$5:$I$5,0))</f>
        <v>3946094</v>
      </c>
      <c r="V73" s="156">
        <f t="shared" si="4"/>
        <v>394609</v>
      </c>
      <c r="W73" s="156">
        <f t="shared" si="5"/>
        <v>3946090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71723</v>
      </c>
      <c r="D74" s="22">
        <f>IF(Notes!$B$2="June",ROUND('Budget by Source'!D74/10,0)+Q74,ROUND('Budget by Source'!D74/10,0))</f>
        <v>217872</v>
      </c>
      <c r="E74" s="22">
        <f>IF(Notes!$B$2="June",ROUND('Budget by Source'!E74/10,0)+R74,ROUND('Budget by Source'!E74/10,0))</f>
        <v>29283</v>
      </c>
      <c r="F74" s="22">
        <f>IF(Notes!$B$2="June",ROUND('Budget by Source'!F74/10,0)+S74,ROUND('Budget by Source'!F74/10,0))</f>
        <v>25113</v>
      </c>
      <c r="G74" s="22">
        <f>IF(Notes!$B$2="June",ROUND('Budget by Source'!G74/10,0)+T74,ROUND('Budget by Source'!G74/10,0))</f>
        <v>122353</v>
      </c>
      <c r="H74" s="22">
        <f t="shared" si="3"/>
        <v>2194876</v>
      </c>
      <c r="I74" s="22">
        <f>INDEX(Data[],MATCH($A74,Data[Dist],0),MATCH(I$5,Data[#Headers],0))</f>
        <v>2661220</v>
      </c>
      <c r="K74" s="70">
        <f>INDEX('Payment Total'!$A$7:$H$336,MATCH('Payment by Source'!$A74,'Payment Total'!$A$7:$A$336,0),6)-I74</f>
        <v>0</v>
      </c>
      <c r="P74" s="158">
        <f>INDEX('Budget by Source'!$A$6:$I$335,MATCH('Payment by Source'!$A74,'Budget by Source'!$A$6:$A$335,0),MATCH(P$3,'Budget by Source'!$A$5:$I$5,0))-(ROUND(INDEX('Budget by Source'!$A$6:$I$335,MATCH('Payment by Source'!$A74,'Budget by Source'!$A$6:$A$335,0),MATCH(P$3,'Budget by Source'!$A$5:$I$5,0))/10,0)*10)</f>
        <v>3</v>
      </c>
      <c r="Q74" s="158">
        <f>INDEX('Budget by Source'!$A$6:$I$335,MATCH('Payment by Source'!$A74,'Budget by Source'!$A$6:$A$335,0),MATCH(Q$3,'Budget by Source'!$A$5:$I$5,0))-(ROUND(INDEX('Budget by Source'!$A$6:$I$335,MATCH('Payment by Source'!$A74,'Budget by Source'!$A$6:$A$335,0),MATCH(Q$3,'Budget by Source'!$A$5:$I$5,0))/10,0)*10)</f>
        <v>0</v>
      </c>
      <c r="R74" s="158">
        <f>INDEX('Budget by Source'!$A$6:$I$335,MATCH('Payment by Source'!$A74,'Budget by Source'!$A$6:$A$335,0),MATCH(R$3,'Budget by Source'!$A$5:$I$5,0))-(ROUND(INDEX('Budget by Source'!$A$6:$I$335,MATCH('Payment by Source'!$A74,'Budget by Source'!$A$6:$A$335,0),MATCH(R$3,'Budget by Source'!$A$5:$I$5,0))/10,0)*10)</f>
        <v>0</v>
      </c>
      <c r="S74" s="158">
        <f>INDEX('Budget by Source'!$A$6:$I$335,MATCH('Payment by Source'!$A74,'Budget by Source'!$A$6:$A$335,0),MATCH(S$3,'Budget by Source'!$A$5:$I$5,0))-(ROUND(INDEX('Budget by Source'!$A$6:$I$335,MATCH('Payment by Source'!$A74,'Budget by Source'!$A$6:$A$335,0),MATCH(S$3,'Budget by Source'!$A$5:$I$5,0))/10,0)*10)</f>
        <v>1</v>
      </c>
      <c r="T74" s="158">
        <f>INDEX('Budget by Source'!$A$6:$I$335,MATCH('Payment by Source'!$A74,'Budget by Source'!$A$6:$A$335,0),MATCH(T$3,'Budget by Source'!$A$5:$I$5,0))-(ROUND(INDEX('Budget by Source'!$A$6:$I$335,MATCH('Payment by Source'!$A74,'Budget by Source'!$A$6:$A$335,0),MATCH(T$3,'Budget by Source'!$A$5:$I$5,0))/10,0)*10)</f>
        <v>2</v>
      </c>
      <c r="U74" s="159">
        <f>INDEX('Budget by Source'!$A$6:$I$335,MATCH('Payment by Source'!$A74,'Budget by Source'!$A$6:$A$335,0),MATCH(U$3,'Budget by Source'!$A$5:$I$5,0))</f>
        <v>22010818</v>
      </c>
      <c r="V74" s="156">
        <f t="shared" si="4"/>
        <v>2201082</v>
      </c>
      <c r="W74" s="156">
        <f t="shared" si="5"/>
        <v>22010820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15085</v>
      </c>
      <c r="D75" s="22">
        <f>IF(Notes!$B$2="June",ROUND('Budget by Source'!D75/10,0)+Q75,ROUND('Budget by Source'!D75/10,0))</f>
        <v>42678</v>
      </c>
      <c r="E75" s="22">
        <f>IF(Notes!$B$2="June",ROUND('Budget by Source'!E75/10,0)+R75,ROUND('Budget by Source'!E75/10,0))</f>
        <v>4908</v>
      </c>
      <c r="F75" s="22">
        <f>IF(Notes!$B$2="June",ROUND('Budget by Source'!F75/10,0)+S75,ROUND('Budget by Source'!F75/10,0))</f>
        <v>4180</v>
      </c>
      <c r="G75" s="22">
        <f>IF(Notes!$B$2="June",ROUND('Budget by Source'!G75/10,0)+T75,ROUND('Budget by Source'!G75/10,0))</f>
        <v>24039</v>
      </c>
      <c r="H75" s="22">
        <f t="shared" si="3"/>
        <v>391155</v>
      </c>
      <c r="I75" s="22">
        <f>INDEX(Data[],MATCH($A75,Data[Dist],0),MATCH(I$5,Data[#Headers],0))</f>
        <v>482045</v>
      </c>
      <c r="K75" s="70">
        <f>INDEX('Payment Total'!$A$7:$H$336,MATCH('Payment by Source'!$A75,'Payment Total'!$A$7:$A$336,0),6)-I75</f>
        <v>0</v>
      </c>
      <c r="P75" s="158">
        <f>INDEX('Budget by Source'!$A$6:$I$335,MATCH('Payment by Source'!$A75,'Budget by Source'!$A$6:$A$335,0),MATCH(P$3,'Budget by Source'!$A$5:$I$5,0))-(ROUND(INDEX('Budget by Source'!$A$6:$I$335,MATCH('Payment by Source'!$A75,'Budget by Source'!$A$6:$A$335,0),MATCH(P$3,'Budget by Source'!$A$5:$I$5,0))/10,0)*10)</f>
        <v>4</v>
      </c>
      <c r="Q75" s="158">
        <f>INDEX('Budget by Source'!$A$6:$I$335,MATCH('Payment by Source'!$A75,'Budget by Source'!$A$6:$A$335,0),MATCH(Q$3,'Budget by Source'!$A$5:$I$5,0))-(ROUND(INDEX('Budget by Source'!$A$6:$I$335,MATCH('Payment by Source'!$A75,'Budget by Source'!$A$6:$A$335,0),MATCH(Q$3,'Budget by Source'!$A$5:$I$5,0))/10,0)*10)</f>
        <v>-5</v>
      </c>
      <c r="R75" s="158">
        <f>INDEX('Budget by Source'!$A$6:$I$335,MATCH('Payment by Source'!$A75,'Budget by Source'!$A$6:$A$335,0),MATCH(R$3,'Budget by Source'!$A$5:$I$5,0))-(ROUND(INDEX('Budget by Source'!$A$6:$I$335,MATCH('Payment by Source'!$A75,'Budget by Source'!$A$6:$A$335,0),MATCH(R$3,'Budget by Source'!$A$5:$I$5,0))/10,0)*10)</f>
        <v>4</v>
      </c>
      <c r="S75" s="158">
        <f>INDEX('Budget by Source'!$A$6:$I$335,MATCH('Payment by Source'!$A75,'Budget by Source'!$A$6:$A$335,0),MATCH(S$3,'Budget by Source'!$A$5:$I$5,0))-(ROUND(INDEX('Budget by Source'!$A$6:$I$335,MATCH('Payment by Source'!$A75,'Budget by Source'!$A$6:$A$335,0),MATCH(S$3,'Budget by Source'!$A$5:$I$5,0))/10,0)*10)</f>
        <v>1</v>
      </c>
      <c r="T75" s="158">
        <f>INDEX('Budget by Source'!$A$6:$I$335,MATCH('Payment by Source'!$A75,'Budget by Source'!$A$6:$A$335,0),MATCH(T$3,'Budget by Source'!$A$5:$I$5,0))-(ROUND(INDEX('Budget by Source'!$A$6:$I$335,MATCH('Payment by Source'!$A75,'Budget by Source'!$A$6:$A$335,0),MATCH(T$3,'Budget by Source'!$A$5:$I$5,0))/10,0)*10)</f>
        <v>-5</v>
      </c>
      <c r="U75" s="159">
        <f>INDEX('Budget by Source'!$A$6:$I$335,MATCH('Payment by Source'!$A75,'Budget by Source'!$A$6:$A$335,0),MATCH(U$3,'Budget by Source'!$A$5:$I$5,0))</f>
        <v>3923796</v>
      </c>
      <c r="V75" s="156">
        <f t="shared" si="4"/>
        <v>392380</v>
      </c>
      <c r="W75" s="156">
        <f t="shared" si="5"/>
        <v>3923800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93500</v>
      </c>
      <c r="D76" s="22">
        <f>IF(Notes!$B$2="June",ROUND('Budget by Source'!D76/10,0)+Q76,ROUND('Budget by Source'!D76/10,0))</f>
        <v>284520</v>
      </c>
      <c r="E76" s="22">
        <f>IF(Notes!$B$2="June",ROUND('Budget by Source'!E76/10,0)+R76,ROUND('Budget by Source'!E76/10,0))</f>
        <v>36793</v>
      </c>
      <c r="F76" s="22">
        <f>IF(Notes!$B$2="June",ROUND('Budget by Source'!F76/10,0)+S76,ROUND('Budget by Source'!F76/10,0))</f>
        <v>35158</v>
      </c>
      <c r="G76" s="22">
        <f>IF(Notes!$B$2="June",ROUND('Budget by Source'!G76/10,0)+T76,ROUND('Budget by Source'!G76/10,0))</f>
        <v>168564</v>
      </c>
      <c r="H76" s="22">
        <f t="shared" si="3"/>
        <v>2212335</v>
      </c>
      <c r="I76" s="22">
        <f>INDEX(Data[],MATCH($A76,Data[Dist],0),MATCH(I$5,Data[#Headers],0))</f>
        <v>2830870</v>
      </c>
      <c r="K76" s="70">
        <f>INDEX('Payment Total'!$A$7:$H$336,MATCH('Payment by Source'!$A76,'Payment Total'!$A$7:$A$336,0),6)-I76</f>
        <v>0</v>
      </c>
      <c r="P76" s="158">
        <f>INDEX('Budget by Source'!$A$6:$I$335,MATCH('Payment by Source'!$A76,'Budget by Source'!$A$6:$A$335,0),MATCH(P$3,'Budget by Source'!$A$5:$I$5,0))-(ROUND(INDEX('Budget by Source'!$A$6:$I$335,MATCH('Payment by Source'!$A76,'Budget by Source'!$A$6:$A$335,0),MATCH(P$3,'Budget by Source'!$A$5:$I$5,0))/10,0)*10)</f>
        <v>-5</v>
      </c>
      <c r="Q76" s="158">
        <f>INDEX('Budget by Source'!$A$6:$I$335,MATCH('Payment by Source'!$A76,'Budget by Source'!$A$6:$A$335,0),MATCH(Q$3,'Budget by Source'!$A$5:$I$5,0))-(ROUND(INDEX('Budget by Source'!$A$6:$I$335,MATCH('Payment by Source'!$A76,'Budget by Source'!$A$6:$A$335,0),MATCH(Q$3,'Budget by Source'!$A$5:$I$5,0))/10,0)*10)</f>
        <v>4</v>
      </c>
      <c r="R76" s="158">
        <f>INDEX('Budget by Source'!$A$6:$I$335,MATCH('Payment by Source'!$A76,'Budget by Source'!$A$6:$A$335,0),MATCH(R$3,'Budget by Source'!$A$5:$I$5,0))-(ROUND(INDEX('Budget by Source'!$A$6:$I$335,MATCH('Payment by Source'!$A76,'Budget by Source'!$A$6:$A$335,0),MATCH(R$3,'Budget by Source'!$A$5:$I$5,0))/10,0)*10)</f>
        <v>4</v>
      </c>
      <c r="S76" s="158">
        <f>INDEX('Budget by Source'!$A$6:$I$335,MATCH('Payment by Source'!$A76,'Budget by Source'!$A$6:$A$335,0),MATCH(S$3,'Budget by Source'!$A$5:$I$5,0))-(ROUND(INDEX('Budget by Source'!$A$6:$I$335,MATCH('Payment by Source'!$A76,'Budget by Source'!$A$6:$A$335,0),MATCH(S$3,'Budget by Source'!$A$5:$I$5,0))/10,0)*10)</f>
        <v>0</v>
      </c>
      <c r="T76" s="158">
        <f>INDEX('Budget by Source'!$A$6:$I$335,MATCH('Payment by Source'!$A76,'Budget by Source'!$A$6:$A$335,0),MATCH(T$3,'Budget by Source'!$A$5:$I$5,0))-(ROUND(INDEX('Budget by Source'!$A$6:$I$335,MATCH('Payment by Source'!$A76,'Budget by Source'!$A$6:$A$335,0),MATCH(T$3,'Budget by Source'!$A$5:$I$5,0))/10,0)*10)</f>
        <v>2</v>
      </c>
      <c r="U76" s="159">
        <f>INDEX('Budget by Source'!$A$6:$I$335,MATCH('Payment by Source'!$A76,'Budget by Source'!$A$6:$A$335,0),MATCH(U$3,'Budget by Source'!$A$5:$I$5,0))</f>
        <v>22209364</v>
      </c>
      <c r="V76" s="156">
        <f t="shared" si="4"/>
        <v>2220936</v>
      </c>
      <c r="W76" s="156">
        <f t="shared" si="5"/>
        <v>22209360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7038</v>
      </c>
      <c r="D77" s="22">
        <f>IF(Notes!$B$2="June",ROUND('Budget by Source'!D77/10,0)+Q77,ROUND('Budget by Source'!D77/10,0))</f>
        <v>28942</v>
      </c>
      <c r="E77" s="22">
        <f>IF(Notes!$B$2="June",ROUND('Budget by Source'!E77/10,0)+R77,ROUND('Budget by Source'!E77/10,0))</f>
        <v>3229</v>
      </c>
      <c r="F77" s="22">
        <f>IF(Notes!$B$2="June",ROUND('Budget by Source'!F77/10,0)+S77,ROUND('Budget by Source'!F77/10,0))</f>
        <v>2953</v>
      </c>
      <c r="G77" s="22">
        <f>IF(Notes!$B$2="June",ROUND('Budget by Source'!G77/10,0)+T77,ROUND('Budget by Source'!G77/10,0))</f>
        <v>15777</v>
      </c>
      <c r="H77" s="22">
        <f t="shared" si="3"/>
        <v>228682</v>
      </c>
      <c r="I77" s="22">
        <f>INDEX(Data[],MATCH($A77,Data[Dist],0),MATCH(I$5,Data[#Headers],0))</f>
        <v>286621</v>
      </c>
      <c r="K77" s="70">
        <f>INDEX('Payment Total'!$A$7:$H$336,MATCH('Payment by Source'!$A77,'Payment Total'!$A$7:$A$336,0),6)-I77</f>
        <v>0</v>
      </c>
      <c r="P77" s="158">
        <f>INDEX('Budget by Source'!$A$6:$I$335,MATCH('Payment by Source'!$A77,'Budget by Source'!$A$6:$A$335,0),MATCH(P$3,'Budget by Source'!$A$5:$I$5,0))-(ROUND(INDEX('Budget by Source'!$A$6:$I$335,MATCH('Payment by Source'!$A77,'Budget by Source'!$A$6:$A$335,0),MATCH(P$3,'Budget by Source'!$A$5:$I$5,0))/10,0)*10)</f>
        <v>0</v>
      </c>
      <c r="Q77" s="158">
        <f>INDEX('Budget by Source'!$A$6:$I$335,MATCH('Payment by Source'!$A77,'Budget by Source'!$A$6:$A$335,0),MATCH(Q$3,'Budget by Source'!$A$5:$I$5,0))-(ROUND(INDEX('Budget by Source'!$A$6:$I$335,MATCH('Payment by Source'!$A77,'Budget by Source'!$A$6:$A$335,0),MATCH(Q$3,'Budget by Source'!$A$5:$I$5,0))/10,0)*10)</f>
        <v>-1</v>
      </c>
      <c r="R77" s="158">
        <f>INDEX('Budget by Source'!$A$6:$I$335,MATCH('Payment by Source'!$A77,'Budget by Source'!$A$6:$A$335,0),MATCH(R$3,'Budget by Source'!$A$5:$I$5,0))-(ROUND(INDEX('Budget by Source'!$A$6:$I$335,MATCH('Payment by Source'!$A77,'Budget by Source'!$A$6:$A$335,0),MATCH(R$3,'Budget by Source'!$A$5:$I$5,0))/10,0)*10)</f>
        <v>3</v>
      </c>
      <c r="S77" s="158">
        <f>INDEX('Budget by Source'!$A$6:$I$335,MATCH('Payment by Source'!$A77,'Budget by Source'!$A$6:$A$335,0),MATCH(S$3,'Budget by Source'!$A$5:$I$5,0))-(ROUND(INDEX('Budget by Source'!$A$6:$I$335,MATCH('Payment by Source'!$A77,'Budget by Source'!$A$6:$A$335,0),MATCH(S$3,'Budget by Source'!$A$5:$I$5,0))/10,0)*10)</f>
        <v>0</v>
      </c>
      <c r="T77" s="158">
        <f>INDEX('Budget by Source'!$A$6:$I$335,MATCH('Payment by Source'!$A77,'Budget by Source'!$A$6:$A$335,0),MATCH(T$3,'Budget by Source'!$A$5:$I$5,0))-(ROUND(INDEX('Budget by Source'!$A$6:$I$335,MATCH('Payment by Source'!$A77,'Budget by Source'!$A$6:$A$335,0),MATCH(T$3,'Budget by Source'!$A$5:$I$5,0))/10,0)*10)</f>
        <v>-2</v>
      </c>
      <c r="U77" s="159">
        <f>INDEX('Budget by Source'!$A$6:$I$335,MATCH('Payment by Source'!$A77,'Budget by Source'!$A$6:$A$335,0),MATCH(U$3,'Budget by Source'!$A$5:$I$5,0))</f>
        <v>2294473</v>
      </c>
      <c r="V77" s="156">
        <f t="shared" si="4"/>
        <v>229447</v>
      </c>
      <c r="W77" s="156">
        <f t="shared" si="5"/>
        <v>2294470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7374</v>
      </c>
      <c r="D78" s="22">
        <f>IF(Notes!$B$2="June",ROUND('Budget by Source'!D78/10,0)+Q78,ROUND('Budget by Source'!D78/10,0))</f>
        <v>32254</v>
      </c>
      <c r="E78" s="22">
        <f>IF(Notes!$B$2="June",ROUND('Budget by Source'!E78/10,0)+R78,ROUND('Budget by Source'!E78/10,0))</f>
        <v>3426</v>
      </c>
      <c r="F78" s="22">
        <f>IF(Notes!$B$2="June",ROUND('Budget by Source'!F78/10,0)+S78,ROUND('Budget by Source'!F78/10,0))</f>
        <v>3229</v>
      </c>
      <c r="G78" s="22">
        <f>IF(Notes!$B$2="June",ROUND('Budget by Source'!G78/10,0)+T78,ROUND('Budget by Source'!G78/10,0))</f>
        <v>16737</v>
      </c>
      <c r="H78" s="22">
        <f t="shared" si="3"/>
        <v>194985</v>
      </c>
      <c r="I78" s="22">
        <f>INDEX(Data[],MATCH($A78,Data[Dist],0),MATCH(I$5,Data[#Headers],0))</f>
        <v>258005</v>
      </c>
      <c r="K78" s="70">
        <f>INDEX('Payment Total'!$A$7:$H$336,MATCH('Payment by Source'!$A78,'Payment Total'!$A$7:$A$336,0),6)-I78</f>
        <v>0</v>
      </c>
      <c r="P78" s="158">
        <f>INDEX('Budget by Source'!$A$6:$I$335,MATCH('Payment by Source'!$A78,'Budget by Source'!$A$6:$A$335,0),MATCH(P$3,'Budget by Source'!$A$5:$I$5,0))-(ROUND(INDEX('Budget by Source'!$A$6:$I$335,MATCH('Payment by Source'!$A78,'Budget by Source'!$A$6:$A$335,0),MATCH(P$3,'Budget by Source'!$A$5:$I$5,0))/10,0)*10)</f>
        <v>1</v>
      </c>
      <c r="Q78" s="158">
        <f>INDEX('Budget by Source'!$A$6:$I$335,MATCH('Payment by Source'!$A78,'Budget by Source'!$A$6:$A$335,0),MATCH(Q$3,'Budget by Source'!$A$5:$I$5,0))-(ROUND(INDEX('Budget by Source'!$A$6:$I$335,MATCH('Payment by Source'!$A78,'Budget by Source'!$A$6:$A$335,0),MATCH(Q$3,'Budget by Source'!$A$5:$I$5,0))/10,0)*10)</f>
        <v>0</v>
      </c>
      <c r="R78" s="158">
        <f>INDEX('Budget by Source'!$A$6:$I$335,MATCH('Payment by Source'!$A78,'Budget by Source'!$A$6:$A$335,0),MATCH(R$3,'Budget by Source'!$A$5:$I$5,0))-(ROUND(INDEX('Budget by Source'!$A$6:$I$335,MATCH('Payment by Source'!$A78,'Budget by Source'!$A$6:$A$335,0),MATCH(R$3,'Budget by Source'!$A$5:$I$5,0))/10,0)*10)</f>
        <v>3</v>
      </c>
      <c r="S78" s="158">
        <f>INDEX('Budget by Source'!$A$6:$I$335,MATCH('Payment by Source'!$A78,'Budget by Source'!$A$6:$A$335,0),MATCH(S$3,'Budget by Source'!$A$5:$I$5,0))-(ROUND(INDEX('Budget by Source'!$A$6:$I$335,MATCH('Payment by Source'!$A78,'Budget by Source'!$A$6:$A$335,0),MATCH(S$3,'Budget by Source'!$A$5:$I$5,0))/10,0)*10)</f>
        <v>4</v>
      </c>
      <c r="T78" s="158">
        <f>INDEX('Budget by Source'!$A$6:$I$335,MATCH('Payment by Source'!$A78,'Budget by Source'!$A$6:$A$335,0),MATCH(T$3,'Budget by Source'!$A$5:$I$5,0))-(ROUND(INDEX('Budget by Source'!$A$6:$I$335,MATCH('Payment by Source'!$A78,'Budget by Source'!$A$6:$A$335,0),MATCH(T$3,'Budget by Source'!$A$5:$I$5,0))/10,0)*10)</f>
        <v>-3</v>
      </c>
      <c r="U78" s="159">
        <f>INDEX('Budget by Source'!$A$6:$I$335,MATCH('Payment by Source'!$A78,'Budget by Source'!$A$6:$A$335,0),MATCH(U$3,'Budget by Source'!$A$5:$I$5,0))</f>
        <v>1958422</v>
      </c>
      <c r="V78" s="156">
        <f t="shared" si="4"/>
        <v>195842</v>
      </c>
      <c r="W78" s="156">
        <f t="shared" si="5"/>
        <v>1958420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10393</v>
      </c>
      <c r="D79" s="22">
        <f>IF(Notes!$B$2="June",ROUND('Budget by Source'!D79/10,0)+Q79,ROUND('Budget by Source'!D79/10,0))</f>
        <v>48575</v>
      </c>
      <c r="E79" s="22">
        <f>IF(Notes!$B$2="June",ROUND('Budget by Source'!E79/10,0)+R79,ROUND('Budget by Source'!E79/10,0))</f>
        <v>6000</v>
      </c>
      <c r="F79" s="22">
        <f>IF(Notes!$B$2="June",ROUND('Budget by Source'!F79/10,0)+S79,ROUND('Budget by Source'!F79/10,0))</f>
        <v>5786</v>
      </c>
      <c r="G79" s="22">
        <f>IF(Notes!$B$2="June",ROUND('Budget by Source'!G79/10,0)+T79,ROUND('Budget by Source'!G79/10,0))</f>
        <v>25767</v>
      </c>
      <c r="H79" s="22">
        <f t="shared" si="3"/>
        <v>425969</v>
      </c>
      <c r="I79" s="22">
        <f>INDEX(Data[],MATCH($A79,Data[Dist],0),MATCH(I$5,Data[#Headers],0))</f>
        <v>522490</v>
      </c>
      <c r="K79" s="70">
        <f>INDEX('Payment Total'!$A$7:$H$336,MATCH('Payment by Source'!$A79,'Payment Total'!$A$7:$A$336,0),6)-I79</f>
        <v>0</v>
      </c>
      <c r="P79" s="158">
        <f>INDEX('Budget by Source'!$A$6:$I$335,MATCH('Payment by Source'!$A79,'Budget by Source'!$A$6:$A$335,0),MATCH(P$3,'Budget by Source'!$A$5:$I$5,0))-(ROUND(INDEX('Budget by Source'!$A$6:$I$335,MATCH('Payment by Source'!$A79,'Budget by Source'!$A$6:$A$335,0),MATCH(P$3,'Budget by Source'!$A$5:$I$5,0))/10,0)*10)</f>
        <v>4</v>
      </c>
      <c r="Q79" s="158">
        <f>INDEX('Budget by Source'!$A$6:$I$335,MATCH('Payment by Source'!$A79,'Budget by Source'!$A$6:$A$335,0),MATCH(Q$3,'Budget by Source'!$A$5:$I$5,0))-(ROUND(INDEX('Budget by Source'!$A$6:$I$335,MATCH('Payment by Source'!$A79,'Budget by Source'!$A$6:$A$335,0),MATCH(Q$3,'Budget by Source'!$A$5:$I$5,0))/10,0)*10)</f>
        <v>-3</v>
      </c>
      <c r="R79" s="158">
        <f>INDEX('Budget by Source'!$A$6:$I$335,MATCH('Payment by Source'!$A79,'Budget by Source'!$A$6:$A$335,0),MATCH(R$3,'Budget by Source'!$A$5:$I$5,0))-(ROUND(INDEX('Budget by Source'!$A$6:$I$335,MATCH('Payment by Source'!$A79,'Budget by Source'!$A$6:$A$335,0),MATCH(R$3,'Budget by Source'!$A$5:$I$5,0))/10,0)*10)</f>
        <v>2</v>
      </c>
      <c r="S79" s="158">
        <f>INDEX('Budget by Source'!$A$6:$I$335,MATCH('Payment by Source'!$A79,'Budget by Source'!$A$6:$A$335,0),MATCH(S$3,'Budget by Source'!$A$5:$I$5,0))-(ROUND(INDEX('Budget by Source'!$A$6:$I$335,MATCH('Payment by Source'!$A79,'Budget by Source'!$A$6:$A$335,0),MATCH(S$3,'Budget by Source'!$A$5:$I$5,0))/10,0)*10)</f>
        <v>-1</v>
      </c>
      <c r="T79" s="158">
        <f>INDEX('Budget by Source'!$A$6:$I$335,MATCH('Payment by Source'!$A79,'Budget by Source'!$A$6:$A$335,0),MATCH(T$3,'Budget by Source'!$A$5:$I$5,0))-(ROUND(INDEX('Budget by Source'!$A$6:$I$335,MATCH('Payment by Source'!$A79,'Budget by Source'!$A$6:$A$335,0),MATCH(T$3,'Budget by Source'!$A$5:$I$5,0))/10,0)*10)</f>
        <v>-1</v>
      </c>
      <c r="U79" s="159">
        <f>INDEX('Budget by Source'!$A$6:$I$335,MATCH('Payment by Source'!$A79,'Budget by Source'!$A$6:$A$335,0),MATCH(U$3,'Budget by Source'!$A$5:$I$5,0))</f>
        <v>4272819</v>
      </c>
      <c r="V79" s="156">
        <f t="shared" si="4"/>
        <v>427282</v>
      </c>
      <c r="W79" s="156">
        <f t="shared" si="5"/>
        <v>4272820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9384</v>
      </c>
      <c r="D80" s="22">
        <f>IF(Notes!$B$2="June",ROUND('Budget by Source'!D80/10,0)+Q80,ROUND('Budget by Source'!D80/10,0))</f>
        <v>28827</v>
      </c>
      <c r="E80" s="22">
        <f>IF(Notes!$B$2="June",ROUND('Budget by Source'!E80/10,0)+R80,ROUND('Budget by Source'!E80/10,0))</f>
        <v>3306</v>
      </c>
      <c r="F80" s="22">
        <f>IF(Notes!$B$2="June",ROUND('Budget by Source'!F80/10,0)+S80,ROUND('Budget by Source'!F80/10,0))</f>
        <v>3084</v>
      </c>
      <c r="G80" s="22">
        <f>IF(Notes!$B$2="June",ROUND('Budget by Source'!G80/10,0)+T80,ROUND('Budget by Source'!G80/10,0))</f>
        <v>14337</v>
      </c>
      <c r="H80" s="22">
        <f t="shared" si="3"/>
        <v>190362</v>
      </c>
      <c r="I80" s="22">
        <f>INDEX(Data[],MATCH($A80,Data[Dist],0),MATCH(I$5,Data[#Headers],0))</f>
        <v>249300</v>
      </c>
      <c r="K80" s="70">
        <f>INDEX('Payment Total'!$A$7:$H$336,MATCH('Payment by Source'!$A80,'Payment Total'!$A$7:$A$336,0),6)-I80</f>
        <v>0</v>
      </c>
      <c r="P80" s="158">
        <f>INDEX('Budget by Source'!$A$6:$I$335,MATCH('Payment by Source'!$A80,'Budget by Source'!$A$6:$A$335,0),MATCH(P$3,'Budget by Source'!$A$5:$I$5,0))-(ROUND(INDEX('Budget by Source'!$A$6:$I$335,MATCH('Payment by Source'!$A80,'Budget by Source'!$A$6:$A$335,0),MATCH(P$3,'Budget by Source'!$A$5:$I$5,0))/10,0)*10)</f>
        <v>0</v>
      </c>
      <c r="Q80" s="158">
        <f>INDEX('Budget by Source'!$A$6:$I$335,MATCH('Payment by Source'!$A80,'Budget by Source'!$A$6:$A$335,0),MATCH(Q$3,'Budget by Source'!$A$5:$I$5,0))-(ROUND(INDEX('Budget by Source'!$A$6:$I$335,MATCH('Payment by Source'!$A80,'Budget by Source'!$A$6:$A$335,0),MATCH(Q$3,'Budget by Source'!$A$5:$I$5,0))/10,0)*10)</f>
        <v>1</v>
      </c>
      <c r="R80" s="158">
        <f>INDEX('Budget by Source'!$A$6:$I$335,MATCH('Payment by Source'!$A80,'Budget by Source'!$A$6:$A$335,0),MATCH(R$3,'Budget by Source'!$A$5:$I$5,0))-(ROUND(INDEX('Budget by Source'!$A$6:$I$335,MATCH('Payment by Source'!$A80,'Budget by Source'!$A$6:$A$335,0),MATCH(R$3,'Budget by Source'!$A$5:$I$5,0))/10,0)*10)</f>
        <v>-4</v>
      </c>
      <c r="S80" s="158">
        <f>INDEX('Budget by Source'!$A$6:$I$335,MATCH('Payment by Source'!$A80,'Budget by Source'!$A$6:$A$335,0),MATCH(S$3,'Budget by Source'!$A$5:$I$5,0))-(ROUND(INDEX('Budget by Source'!$A$6:$I$335,MATCH('Payment by Source'!$A80,'Budget by Source'!$A$6:$A$335,0),MATCH(S$3,'Budget by Source'!$A$5:$I$5,0))/10,0)*10)</f>
        <v>2</v>
      </c>
      <c r="T80" s="158">
        <f>INDEX('Budget by Source'!$A$6:$I$335,MATCH('Payment by Source'!$A80,'Budget by Source'!$A$6:$A$335,0),MATCH(T$3,'Budget by Source'!$A$5:$I$5,0))-(ROUND(INDEX('Budget by Source'!$A$6:$I$335,MATCH('Payment by Source'!$A80,'Budget by Source'!$A$6:$A$335,0),MATCH(T$3,'Budget by Source'!$A$5:$I$5,0))/10,0)*10)</f>
        <v>4</v>
      </c>
      <c r="U80" s="159">
        <f>INDEX('Budget by Source'!$A$6:$I$335,MATCH('Payment by Source'!$A80,'Budget by Source'!$A$6:$A$335,0),MATCH(U$3,'Budget by Source'!$A$5:$I$5,0))</f>
        <v>1910973</v>
      </c>
      <c r="V80" s="156">
        <f t="shared" si="4"/>
        <v>191097</v>
      </c>
      <c r="W80" s="156">
        <f t="shared" si="5"/>
        <v>1910970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12402</v>
      </c>
      <c r="D81" s="22">
        <f>IF(Notes!$B$2="June",ROUND('Budget by Source'!D81/10,0)+Q81,ROUND('Budget by Source'!D81/10,0))</f>
        <v>27708</v>
      </c>
      <c r="E81" s="22">
        <f>IF(Notes!$B$2="June",ROUND('Budget by Source'!E81/10,0)+R81,ROUND('Budget by Source'!E81/10,0))</f>
        <v>3303</v>
      </c>
      <c r="F81" s="22">
        <f>IF(Notes!$B$2="June",ROUND('Budget by Source'!F81/10,0)+S81,ROUND('Budget by Source'!F81/10,0))</f>
        <v>2792</v>
      </c>
      <c r="G81" s="22">
        <f>IF(Notes!$B$2="June",ROUND('Budget by Source'!G81/10,0)+T81,ROUND('Budget by Source'!G81/10,0))</f>
        <v>13624</v>
      </c>
      <c r="H81" s="22">
        <f t="shared" si="3"/>
        <v>151342</v>
      </c>
      <c r="I81" s="22">
        <f>INDEX(Data[],MATCH($A81,Data[Dist],0),MATCH(I$5,Data[#Headers],0))</f>
        <v>211171</v>
      </c>
      <c r="K81" s="70">
        <f>INDEX('Payment Total'!$A$7:$H$336,MATCH('Payment by Source'!$A81,'Payment Total'!$A$7:$A$336,0),6)-I81</f>
        <v>0</v>
      </c>
      <c r="P81" s="158">
        <f>INDEX('Budget by Source'!$A$6:$I$335,MATCH('Payment by Source'!$A81,'Budget by Source'!$A$6:$A$335,0),MATCH(P$3,'Budget by Source'!$A$5:$I$5,0))-(ROUND(INDEX('Budget by Source'!$A$6:$I$335,MATCH('Payment by Source'!$A81,'Budget by Source'!$A$6:$A$335,0),MATCH(P$3,'Budget by Source'!$A$5:$I$5,0))/10,0)*10)</f>
        <v>2</v>
      </c>
      <c r="Q81" s="158">
        <f>INDEX('Budget by Source'!$A$6:$I$335,MATCH('Payment by Source'!$A81,'Budget by Source'!$A$6:$A$335,0),MATCH(Q$3,'Budget by Source'!$A$5:$I$5,0))-(ROUND(INDEX('Budget by Source'!$A$6:$I$335,MATCH('Payment by Source'!$A81,'Budget by Source'!$A$6:$A$335,0),MATCH(Q$3,'Budget by Source'!$A$5:$I$5,0))/10,0)*10)</f>
        <v>4</v>
      </c>
      <c r="R81" s="158">
        <f>INDEX('Budget by Source'!$A$6:$I$335,MATCH('Payment by Source'!$A81,'Budget by Source'!$A$6:$A$335,0),MATCH(R$3,'Budget by Source'!$A$5:$I$5,0))-(ROUND(INDEX('Budget by Source'!$A$6:$I$335,MATCH('Payment by Source'!$A81,'Budget by Source'!$A$6:$A$335,0),MATCH(R$3,'Budget by Source'!$A$5:$I$5,0))/10,0)*10)</f>
        <v>-5</v>
      </c>
      <c r="S81" s="158">
        <f>INDEX('Budget by Source'!$A$6:$I$335,MATCH('Payment by Source'!$A81,'Budget by Source'!$A$6:$A$335,0),MATCH(S$3,'Budget by Source'!$A$5:$I$5,0))-(ROUND(INDEX('Budget by Source'!$A$6:$I$335,MATCH('Payment by Source'!$A81,'Budget by Source'!$A$6:$A$335,0),MATCH(S$3,'Budget by Source'!$A$5:$I$5,0))/10,0)*10)</f>
        <v>-1</v>
      </c>
      <c r="T81" s="158">
        <f>INDEX('Budget by Source'!$A$6:$I$335,MATCH('Payment by Source'!$A81,'Budget by Source'!$A$6:$A$335,0),MATCH(T$3,'Budget by Source'!$A$5:$I$5,0))-(ROUND(INDEX('Budget by Source'!$A$6:$I$335,MATCH('Payment by Source'!$A81,'Budget by Source'!$A$6:$A$335,0),MATCH(T$3,'Budget by Source'!$A$5:$I$5,0))/10,0)*10)</f>
        <v>-2</v>
      </c>
      <c r="U81" s="159">
        <f>INDEX('Budget by Source'!$A$6:$I$335,MATCH('Payment by Source'!$A81,'Budget by Source'!$A$6:$A$335,0),MATCH(U$3,'Budget by Source'!$A$5:$I$5,0))</f>
        <v>1520041</v>
      </c>
      <c r="V81" s="156">
        <f t="shared" si="4"/>
        <v>152004</v>
      </c>
      <c r="W81" s="156">
        <f t="shared" si="5"/>
        <v>1520040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122660</v>
      </c>
      <c r="D82" s="22">
        <f>IF(Notes!$B$2="June",ROUND('Budget by Source'!D82/10,0)+Q82,ROUND('Budget by Source'!D82/10,0))</f>
        <v>510470</v>
      </c>
      <c r="E82" s="22">
        <f>IF(Notes!$B$2="June",ROUND('Budget by Source'!E82/10,0)+R82,ROUND('Budget by Source'!E82/10,0))</f>
        <v>75975</v>
      </c>
      <c r="F82" s="22">
        <f>IF(Notes!$B$2="June",ROUND('Budget by Source'!F82/10,0)+S82,ROUND('Budget by Source'!F82/10,0))</f>
        <v>59271</v>
      </c>
      <c r="G82" s="22">
        <f>IF(Notes!$B$2="June",ROUND('Budget by Source'!G82/10,0)+T82,ROUND('Budget by Source'!G82/10,0))</f>
        <v>299246</v>
      </c>
      <c r="H82" s="22">
        <f t="shared" si="3"/>
        <v>5629980</v>
      </c>
      <c r="I82" s="22">
        <f>INDEX(Data[],MATCH($A82,Data[Dist],0),MATCH(I$5,Data[#Headers],0))</f>
        <v>6697602</v>
      </c>
      <c r="K82" s="70">
        <f>INDEX('Payment Total'!$A$7:$H$336,MATCH('Payment by Source'!$A82,'Payment Total'!$A$7:$A$336,0),6)-I82</f>
        <v>0</v>
      </c>
      <c r="P82" s="158">
        <f>INDEX('Budget by Source'!$A$6:$I$335,MATCH('Payment by Source'!$A82,'Budget by Source'!$A$6:$A$335,0),MATCH(P$3,'Budget by Source'!$A$5:$I$5,0))-(ROUND(INDEX('Budget by Source'!$A$6:$I$335,MATCH('Payment by Source'!$A82,'Budget by Source'!$A$6:$A$335,0),MATCH(P$3,'Budget by Source'!$A$5:$I$5,0))/10,0)*10)</f>
        <v>-2</v>
      </c>
      <c r="Q82" s="158">
        <f>INDEX('Budget by Source'!$A$6:$I$335,MATCH('Payment by Source'!$A82,'Budget by Source'!$A$6:$A$335,0),MATCH(Q$3,'Budget by Source'!$A$5:$I$5,0))-(ROUND(INDEX('Budget by Source'!$A$6:$I$335,MATCH('Payment by Source'!$A82,'Budget by Source'!$A$6:$A$335,0),MATCH(Q$3,'Budget by Source'!$A$5:$I$5,0))/10,0)*10)</f>
        <v>-2</v>
      </c>
      <c r="R82" s="158">
        <f>INDEX('Budget by Source'!$A$6:$I$335,MATCH('Payment by Source'!$A82,'Budget by Source'!$A$6:$A$335,0),MATCH(R$3,'Budget by Source'!$A$5:$I$5,0))-(ROUND(INDEX('Budget by Source'!$A$6:$I$335,MATCH('Payment by Source'!$A82,'Budget by Source'!$A$6:$A$335,0),MATCH(R$3,'Budget by Source'!$A$5:$I$5,0))/10,0)*10)</f>
        <v>4</v>
      </c>
      <c r="S82" s="158">
        <f>INDEX('Budget by Source'!$A$6:$I$335,MATCH('Payment by Source'!$A82,'Budget by Source'!$A$6:$A$335,0),MATCH(S$3,'Budget by Source'!$A$5:$I$5,0))-(ROUND(INDEX('Budget by Source'!$A$6:$I$335,MATCH('Payment by Source'!$A82,'Budget by Source'!$A$6:$A$335,0),MATCH(S$3,'Budget by Source'!$A$5:$I$5,0))/10,0)*10)</f>
        <v>-1</v>
      </c>
      <c r="T82" s="158">
        <f>INDEX('Budget by Source'!$A$6:$I$335,MATCH('Payment by Source'!$A82,'Budget by Source'!$A$6:$A$335,0),MATCH(T$3,'Budget by Source'!$A$5:$I$5,0))-(ROUND(INDEX('Budget by Source'!$A$6:$I$335,MATCH('Payment by Source'!$A82,'Budget by Source'!$A$6:$A$335,0),MATCH(T$3,'Budget by Source'!$A$5:$I$5,0))/10,0)*10)</f>
        <v>-2</v>
      </c>
      <c r="U82" s="159">
        <f>INDEX('Budget by Source'!$A$6:$I$335,MATCH('Payment by Source'!$A82,'Budget by Source'!$A$6:$A$335,0),MATCH(U$3,'Budget by Source'!$A$5:$I$5,0))</f>
        <v>56451739</v>
      </c>
      <c r="V82" s="156">
        <f t="shared" si="4"/>
        <v>5645174</v>
      </c>
      <c r="W82" s="156">
        <f t="shared" si="5"/>
        <v>56451740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28824</v>
      </c>
      <c r="D83" s="22">
        <f>IF(Notes!$B$2="June",ROUND('Budget by Source'!D83/10,0)+Q83,ROUND('Budget by Source'!D83/10,0))</f>
        <v>87309</v>
      </c>
      <c r="E83" s="22">
        <f>IF(Notes!$B$2="June",ROUND('Budget by Source'!E83/10,0)+R83,ROUND('Budget by Source'!E83/10,0))</f>
        <v>10928</v>
      </c>
      <c r="F83" s="22">
        <f>IF(Notes!$B$2="June",ROUND('Budget by Source'!F83/10,0)+S83,ROUND('Budget by Source'!F83/10,0))</f>
        <v>9550</v>
      </c>
      <c r="G83" s="22">
        <f>IF(Notes!$B$2="June",ROUND('Budget by Source'!G83/10,0)+T83,ROUND('Budget by Source'!G83/10,0))</f>
        <v>48037</v>
      </c>
      <c r="H83" s="22">
        <f t="shared" si="3"/>
        <v>730868</v>
      </c>
      <c r="I83" s="22">
        <f>INDEX(Data[],MATCH($A83,Data[Dist],0),MATCH(I$5,Data[#Headers],0))</f>
        <v>915516</v>
      </c>
      <c r="K83" s="70">
        <f>INDEX('Payment Total'!$A$7:$H$336,MATCH('Payment by Source'!$A83,'Payment Total'!$A$7:$A$336,0),6)-I83</f>
        <v>0</v>
      </c>
      <c r="P83" s="158">
        <f>INDEX('Budget by Source'!$A$6:$I$335,MATCH('Payment by Source'!$A83,'Budget by Source'!$A$6:$A$335,0),MATCH(P$3,'Budget by Source'!$A$5:$I$5,0))-(ROUND(INDEX('Budget by Source'!$A$6:$I$335,MATCH('Payment by Source'!$A83,'Budget by Source'!$A$6:$A$335,0),MATCH(P$3,'Budget by Source'!$A$5:$I$5,0))/10,0)*10)</f>
        <v>2</v>
      </c>
      <c r="Q83" s="158">
        <f>INDEX('Budget by Source'!$A$6:$I$335,MATCH('Payment by Source'!$A83,'Budget by Source'!$A$6:$A$335,0),MATCH(Q$3,'Budget by Source'!$A$5:$I$5,0))-(ROUND(INDEX('Budget by Source'!$A$6:$I$335,MATCH('Payment by Source'!$A83,'Budget by Source'!$A$6:$A$335,0),MATCH(Q$3,'Budget by Source'!$A$5:$I$5,0))/10,0)*10)</f>
        <v>-1</v>
      </c>
      <c r="R83" s="158">
        <f>INDEX('Budget by Source'!$A$6:$I$335,MATCH('Payment by Source'!$A83,'Budget by Source'!$A$6:$A$335,0),MATCH(R$3,'Budget by Source'!$A$5:$I$5,0))-(ROUND(INDEX('Budget by Source'!$A$6:$I$335,MATCH('Payment by Source'!$A83,'Budget by Source'!$A$6:$A$335,0),MATCH(R$3,'Budget by Source'!$A$5:$I$5,0))/10,0)*10)</f>
        <v>4</v>
      </c>
      <c r="S83" s="158">
        <f>INDEX('Budget by Source'!$A$6:$I$335,MATCH('Payment by Source'!$A83,'Budget by Source'!$A$6:$A$335,0),MATCH(S$3,'Budget by Source'!$A$5:$I$5,0))-(ROUND(INDEX('Budget by Source'!$A$6:$I$335,MATCH('Payment by Source'!$A83,'Budget by Source'!$A$6:$A$335,0),MATCH(S$3,'Budget by Source'!$A$5:$I$5,0))/10,0)*10)</f>
        <v>3</v>
      </c>
      <c r="T83" s="158">
        <f>INDEX('Budget by Source'!$A$6:$I$335,MATCH('Payment by Source'!$A83,'Budget by Source'!$A$6:$A$335,0),MATCH(T$3,'Budget by Source'!$A$5:$I$5,0))-(ROUND(INDEX('Budget by Source'!$A$6:$I$335,MATCH('Payment by Source'!$A83,'Budget by Source'!$A$6:$A$335,0),MATCH(T$3,'Budget by Source'!$A$5:$I$5,0))/10,0)*10)</f>
        <v>-1</v>
      </c>
      <c r="U83" s="159">
        <f>INDEX('Budget by Source'!$A$6:$I$335,MATCH('Payment by Source'!$A83,'Budget by Source'!$A$6:$A$335,0),MATCH(U$3,'Budget by Source'!$A$5:$I$5,0))</f>
        <v>7333236</v>
      </c>
      <c r="V83" s="156">
        <f t="shared" si="4"/>
        <v>733324</v>
      </c>
      <c r="W83" s="156">
        <f t="shared" si="5"/>
        <v>7333240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65013</v>
      </c>
      <c r="D84" s="22">
        <f>IF(Notes!$B$2="June",ROUND('Budget by Source'!D84/10,0)+Q84,ROUND('Budget by Source'!D84/10,0))</f>
        <v>156200</v>
      </c>
      <c r="E84" s="22">
        <f>IF(Notes!$B$2="June",ROUND('Budget by Source'!E84/10,0)+R84,ROUND('Budget by Source'!E84/10,0))</f>
        <v>18539</v>
      </c>
      <c r="F84" s="22">
        <f>IF(Notes!$B$2="June",ROUND('Budget by Source'!F84/10,0)+S84,ROUND('Budget by Source'!F84/10,0))</f>
        <v>16472</v>
      </c>
      <c r="G84" s="22">
        <f>IF(Notes!$B$2="June",ROUND('Budget by Source'!G84/10,0)+T84,ROUND('Budget by Source'!G84/10,0))</f>
        <v>92106</v>
      </c>
      <c r="H84" s="22">
        <f t="shared" si="3"/>
        <v>1274788</v>
      </c>
      <c r="I84" s="22">
        <f>INDEX(Data[],MATCH($A84,Data[Dist],0),MATCH(I$5,Data[#Headers],0))</f>
        <v>1623118</v>
      </c>
      <c r="K84" s="70">
        <f>INDEX('Payment Total'!$A$7:$H$336,MATCH('Payment by Source'!$A84,'Payment Total'!$A$7:$A$336,0),6)-I84</f>
        <v>0</v>
      </c>
      <c r="P84" s="158">
        <f>INDEX('Budget by Source'!$A$6:$I$335,MATCH('Payment by Source'!$A84,'Budget by Source'!$A$6:$A$335,0),MATCH(P$3,'Budget by Source'!$A$5:$I$5,0))-(ROUND(INDEX('Budget by Source'!$A$6:$I$335,MATCH('Payment by Source'!$A84,'Budget by Source'!$A$6:$A$335,0),MATCH(P$3,'Budget by Source'!$A$5:$I$5,0))/10,0)*10)</f>
        <v>-5</v>
      </c>
      <c r="Q84" s="158">
        <f>INDEX('Budget by Source'!$A$6:$I$335,MATCH('Payment by Source'!$A84,'Budget by Source'!$A$6:$A$335,0),MATCH(Q$3,'Budget by Source'!$A$5:$I$5,0))-(ROUND(INDEX('Budget by Source'!$A$6:$I$335,MATCH('Payment by Source'!$A84,'Budget by Source'!$A$6:$A$335,0),MATCH(Q$3,'Budget by Source'!$A$5:$I$5,0))/10,0)*10)</f>
        <v>-5</v>
      </c>
      <c r="R84" s="158">
        <f>INDEX('Budget by Source'!$A$6:$I$335,MATCH('Payment by Source'!$A84,'Budget by Source'!$A$6:$A$335,0),MATCH(R$3,'Budget by Source'!$A$5:$I$5,0))-(ROUND(INDEX('Budget by Source'!$A$6:$I$335,MATCH('Payment by Source'!$A84,'Budget by Source'!$A$6:$A$335,0),MATCH(R$3,'Budget by Source'!$A$5:$I$5,0))/10,0)*10)</f>
        <v>0</v>
      </c>
      <c r="S84" s="158">
        <f>INDEX('Budget by Source'!$A$6:$I$335,MATCH('Payment by Source'!$A84,'Budget by Source'!$A$6:$A$335,0),MATCH(S$3,'Budget by Source'!$A$5:$I$5,0))-(ROUND(INDEX('Budget by Source'!$A$6:$I$335,MATCH('Payment by Source'!$A84,'Budget by Source'!$A$6:$A$335,0),MATCH(S$3,'Budget by Source'!$A$5:$I$5,0))/10,0)*10)</f>
        <v>4</v>
      </c>
      <c r="T84" s="158">
        <f>INDEX('Budget by Source'!$A$6:$I$335,MATCH('Payment by Source'!$A84,'Budget by Source'!$A$6:$A$335,0),MATCH(T$3,'Budget by Source'!$A$5:$I$5,0))-(ROUND(INDEX('Budget by Source'!$A$6:$I$335,MATCH('Payment by Source'!$A84,'Budget by Source'!$A$6:$A$335,0),MATCH(T$3,'Budget by Source'!$A$5:$I$5,0))/10,0)*10)</f>
        <v>4</v>
      </c>
      <c r="U84" s="159">
        <f>INDEX('Budget by Source'!$A$6:$I$335,MATCH('Payment by Source'!$A84,'Budget by Source'!$A$6:$A$335,0),MATCH(U$3,'Budget by Source'!$A$5:$I$5,0))</f>
        <v>12794835</v>
      </c>
      <c r="V84" s="156">
        <f t="shared" si="4"/>
        <v>1279484</v>
      </c>
      <c r="W84" s="156">
        <f t="shared" si="5"/>
        <v>12794840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13066</v>
      </c>
      <c r="D85" s="22">
        <f>IF(Notes!$B$2="June",ROUND('Budget by Source'!D85/10,0)+Q85,ROUND('Budget by Source'!D85/10,0))</f>
        <v>30553</v>
      </c>
      <c r="E85" s="22">
        <f>IF(Notes!$B$2="June",ROUND('Budget by Source'!E85/10,0)+R85,ROUND('Budget by Source'!E85/10,0))</f>
        <v>3699</v>
      </c>
      <c r="F85" s="22">
        <f>IF(Notes!$B$2="June",ROUND('Budget by Source'!F85/10,0)+S85,ROUND('Budget by Source'!F85/10,0))</f>
        <v>3318</v>
      </c>
      <c r="G85" s="22">
        <f>IF(Notes!$B$2="June",ROUND('Budget by Source'!G85/10,0)+T85,ROUND('Budget by Source'!G85/10,0))</f>
        <v>16764</v>
      </c>
      <c r="H85" s="22">
        <f t="shared" si="3"/>
        <v>255172</v>
      </c>
      <c r="I85" s="22">
        <f>INDEX(Data[],MATCH($A85,Data[Dist],0),MATCH(I$5,Data[#Headers],0))</f>
        <v>322572</v>
      </c>
      <c r="K85" s="70">
        <f>INDEX('Payment Total'!$A$7:$H$336,MATCH('Payment by Source'!$A85,'Payment Total'!$A$7:$A$336,0),6)-I85</f>
        <v>0</v>
      </c>
      <c r="P85" s="158">
        <f>INDEX('Budget by Source'!$A$6:$I$335,MATCH('Payment by Source'!$A85,'Budget by Source'!$A$6:$A$335,0),MATCH(P$3,'Budget by Source'!$A$5:$I$5,0))-(ROUND(INDEX('Budget by Source'!$A$6:$I$335,MATCH('Payment by Source'!$A85,'Budget by Source'!$A$6:$A$335,0),MATCH(P$3,'Budget by Source'!$A$5:$I$5,0))/10,0)*10)</f>
        <v>-5</v>
      </c>
      <c r="Q85" s="158">
        <f>INDEX('Budget by Source'!$A$6:$I$335,MATCH('Payment by Source'!$A85,'Budget by Source'!$A$6:$A$335,0),MATCH(Q$3,'Budget by Source'!$A$5:$I$5,0))-(ROUND(INDEX('Budget by Source'!$A$6:$I$335,MATCH('Payment by Source'!$A85,'Budget by Source'!$A$6:$A$335,0),MATCH(Q$3,'Budget by Source'!$A$5:$I$5,0))/10,0)*10)</f>
        <v>2</v>
      </c>
      <c r="R85" s="158">
        <f>INDEX('Budget by Source'!$A$6:$I$335,MATCH('Payment by Source'!$A85,'Budget by Source'!$A$6:$A$335,0),MATCH(R$3,'Budget by Source'!$A$5:$I$5,0))-(ROUND(INDEX('Budget by Source'!$A$6:$I$335,MATCH('Payment by Source'!$A85,'Budget by Source'!$A$6:$A$335,0),MATCH(R$3,'Budget by Source'!$A$5:$I$5,0))/10,0)*10)</f>
        <v>2</v>
      </c>
      <c r="S85" s="158">
        <f>INDEX('Budget by Source'!$A$6:$I$335,MATCH('Payment by Source'!$A85,'Budget by Source'!$A$6:$A$335,0),MATCH(S$3,'Budget by Source'!$A$5:$I$5,0))-(ROUND(INDEX('Budget by Source'!$A$6:$I$335,MATCH('Payment by Source'!$A85,'Budget by Source'!$A$6:$A$335,0),MATCH(S$3,'Budget by Source'!$A$5:$I$5,0))/10,0)*10)</f>
        <v>2</v>
      </c>
      <c r="T85" s="158">
        <f>INDEX('Budget by Source'!$A$6:$I$335,MATCH('Payment by Source'!$A85,'Budget by Source'!$A$6:$A$335,0),MATCH(T$3,'Budget by Source'!$A$5:$I$5,0))-(ROUND(INDEX('Budget by Source'!$A$6:$I$335,MATCH('Payment by Source'!$A85,'Budget by Source'!$A$6:$A$335,0),MATCH(T$3,'Budget by Source'!$A$5:$I$5,0))/10,0)*10)</f>
        <v>-2</v>
      </c>
      <c r="U85" s="159">
        <f>INDEX('Budget by Source'!$A$6:$I$335,MATCH('Payment by Source'!$A85,'Budget by Source'!$A$6:$A$335,0),MATCH(U$3,'Budget by Source'!$A$5:$I$5,0))</f>
        <v>2560277</v>
      </c>
      <c r="V85" s="156">
        <f t="shared" si="4"/>
        <v>256028</v>
      </c>
      <c r="W85" s="156">
        <f t="shared" si="5"/>
        <v>2560280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290568</v>
      </c>
      <c r="D86" s="22">
        <f>IF(Notes!$B$2="June",ROUND('Budget by Source'!D86/10,0)+Q86,ROUND('Budget by Source'!D86/10,0))</f>
        <v>870292</v>
      </c>
      <c r="E86" s="22">
        <f>IF(Notes!$B$2="June",ROUND('Budget by Source'!E86/10,0)+R86,ROUND('Budget by Source'!E86/10,0))</f>
        <v>126525</v>
      </c>
      <c r="F86" s="22">
        <f>IF(Notes!$B$2="June",ROUND('Budget by Source'!F86/10,0)+S86,ROUND('Budget by Source'!F86/10,0))</f>
        <v>107343</v>
      </c>
      <c r="G86" s="22">
        <f>IF(Notes!$B$2="June",ROUND('Budget by Source'!G86/10,0)+T86,ROUND('Budget by Source'!G86/10,0))</f>
        <v>500747</v>
      </c>
      <c r="H86" s="22">
        <f t="shared" si="3"/>
        <v>8618725</v>
      </c>
      <c r="I86" s="22">
        <f>INDEX(Data[],MATCH($A86,Data[Dist],0),MATCH(I$5,Data[#Headers],0))</f>
        <v>10514200</v>
      </c>
      <c r="K86" s="70">
        <f>INDEX('Payment Total'!$A$7:$H$336,MATCH('Payment by Source'!$A86,'Payment Total'!$A$7:$A$336,0),6)-I86</f>
        <v>0</v>
      </c>
      <c r="P86" s="158">
        <f>INDEX('Budget by Source'!$A$6:$I$335,MATCH('Payment by Source'!$A86,'Budget by Source'!$A$6:$A$335,0),MATCH(P$3,'Budget by Source'!$A$5:$I$5,0))-(ROUND(INDEX('Budget by Source'!$A$6:$I$335,MATCH('Payment by Source'!$A86,'Budget by Source'!$A$6:$A$335,0),MATCH(P$3,'Budget by Source'!$A$5:$I$5,0))/10,0)*10)</f>
        <v>-4</v>
      </c>
      <c r="Q86" s="158">
        <f>INDEX('Budget by Source'!$A$6:$I$335,MATCH('Payment by Source'!$A86,'Budget by Source'!$A$6:$A$335,0),MATCH(Q$3,'Budget by Source'!$A$5:$I$5,0))-(ROUND(INDEX('Budget by Source'!$A$6:$I$335,MATCH('Payment by Source'!$A86,'Budget by Source'!$A$6:$A$335,0),MATCH(Q$3,'Budget by Source'!$A$5:$I$5,0))/10,0)*10)</f>
        <v>2</v>
      </c>
      <c r="R86" s="158">
        <f>INDEX('Budget by Source'!$A$6:$I$335,MATCH('Payment by Source'!$A86,'Budget by Source'!$A$6:$A$335,0),MATCH(R$3,'Budget by Source'!$A$5:$I$5,0))-(ROUND(INDEX('Budget by Source'!$A$6:$I$335,MATCH('Payment by Source'!$A86,'Budget by Source'!$A$6:$A$335,0),MATCH(R$3,'Budget by Source'!$A$5:$I$5,0))/10,0)*10)</f>
        <v>3</v>
      </c>
      <c r="S86" s="158">
        <f>INDEX('Budget by Source'!$A$6:$I$335,MATCH('Payment by Source'!$A86,'Budget by Source'!$A$6:$A$335,0),MATCH(S$3,'Budget by Source'!$A$5:$I$5,0))-(ROUND(INDEX('Budget by Source'!$A$6:$I$335,MATCH('Payment by Source'!$A86,'Budget by Source'!$A$6:$A$335,0),MATCH(S$3,'Budget by Source'!$A$5:$I$5,0))/10,0)*10)</f>
        <v>-3</v>
      </c>
      <c r="T86" s="158">
        <f>INDEX('Budget by Source'!$A$6:$I$335,MATCH('Payment by Source'!$A86,'Budget by Source'!$A$6:$A$335,0),MATCH(T$3,'Budget by Source'!$A$5:$I$5,0))-(ROUND(INDEX('Budget by Source'!$A$6:$I$335,MATCH('Payment by Source'!$A86,'Budget by Source'!$A$6:$A$335,0),MATCH(T$3,'Budget by Source'!$A$5:$I$5,0))/10,0)*10)</f>
        <v>2</v>
      </c>
      <c r="U86" s="159">
        <f>INDEX('Budget by Source'!$A$6:$I$335,MATCH('Payment by Source'!$A86,'Budget by Source'!$A$6:$A$335,0),MATCH(U$3,'Budget by Source'!$A$5:$I$5,0))</f>
        <v>86440944</v>
      </c>
      <c r="V86" s="156">
        <f t="shared" si="4"/>
        <v>8644094</v>
      </c>
      <c r="W86" s="156">
        <f t="shared" si="5"/>
        <v>86440940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21450</v>
      </c>
      <c r="D87" s="22">
        <f>IF(Notes!$B$2="June",ROUND('Budget by Source'!D87/10,0)+Q87,ROUND('Budget by Source'!D87/10,0))</f>
        <v>68405</v>
      </c>
      <c r="E87" s="22">
        <f>IF(Notes!$B$2="June",ROUND('Budget by Source'!E87/10,0)+R87,ROUND('Budget by Source'!E87/10,0))</f>
        <v>7600</v>
      </c>
      <c r="F87" s="22">
        <f>IF(Notes!$B$2="June",ROUND('Budget by Source'!F87/10,0)+S87,ROUND('Budget by Source'!F87/10,0))</f>
        <v>7528</v>
      </c>
      <c r="G87" s="22">
        <f>IF(Notes!$B$2="June",ROUND('Budget by Source'!G87/10,0)+T87,ROUND('Budget by Source'!G87/10,0))</f>
        <v>38224</v>
      </c>
      <c r="H87" s="22">
        <f t="shared" si="3"/>
        <v>546409</v>
      </c>
      <c r="I87" s="22">
        <f>INDEX(Data[],MATCH($A87,Data[Dist],0),MATCH(I$5,Data[#Headers],0))</f>
        <v>689616</v>
      </c>
      <c r="K87" s="70">
        <f>INDEX('Payment Total'!$A$7:$H$336,MATCH('Payment by Source'!$A87,'Payment Total'!$A$7:$A$336,0),6)-I87</f>
        <v>0</v>
      </c>
      <c r="P87" s="158">
        <f>INDEX('Budget by Source'!$A$6:$I$335,MATCH('Payment by Source'!$A87,'Budget by Source'!$A$6:$A$335,0),MATCH(P$3,'Budget by Source'!$A$5:$I$5,0))-(ROUND(INDEX('Budget by Source'!$A$6:$I$335,MATCH('Payment by Source'!$A87,'Budget by Source'!$A$6:$A$335,0),MATCH(P$3,'Budget by Source'!$A$5:$I$5,0))/10,0)*10)</f>
        <v>1</v>
      </c>
      <c r="Q87" s="158">
        <f>INDEX('Budget by Source'!$A$6:$I$335,MATCH('Payment by Source'!$A87,'Budget by Source'!$A$6:$A$335,0),MATCH(Q$3,'Budget by Source'!$A$5:$I$5,0))-(ROUND(INDEX('Budget by Source'!$A$6:$I$335,MATCH('Payment by Source'!$A87,'Budget by Source'!$A$6:$A$335,0),MATCH(Q$3,'Budget by Source'!$A$5:$I$5,0))/10,0)*10)</f>
        <v>1</v>
      </c>
      <c r="R87" s="158">
        <f>INDEX('Budget by Source'!$A$6:$I$335,MATCH('Payment by Source'!$A87,'Budget by Source'!$A$6:$A$335,0),MATCH(R$3,'Budget by Source'!$A$5:$I$5,0))-(ROUND(INDEX('Budget by Source'!$A$6:$I$335,MATCH('Payment by Source'!$A87,'Budget by Source'!$A$6:$A$335,0),MATCH(R$3,'Budget by Source'!$A$5:$I$5,0))/10,0)*10)</f>
        <v>4</v>
      </c>
      <c r="S87" s="158">
        <f>INDEX('Budget by Source'!$A$6:$I$335,MATCH('Payment by Source'!$A87,'Budget by Source'!$A$6:$A$335,0),MATCH(S$3,'Budget by Source'!$A$5:$I$5,0))-(ROUND(INDEX('Budget by Source'!$A$6:$I$335,MATCH('Payment by Source'!$A87,'Budget by Source'!$A$6:$A$335,0),MATCH(S$3,'Budget by Source'!$A$5:$I$5,0))/10,0)*10)</f>
        <v>-5</v>
      </c>
      <c r="T87" s="158">
        <f>INDEX('Budget by Source'!$A$6:$I$335,MATCH('Payment by Source'!$A87,'Budget by Source'!$A$6:$A$335,0),MATCH(T$3,'Budget by Source'!$A$5:$I$5,0))-(ROUND(INDEX('Budget by Source'!$A$6:$I$335,MATCH('Payment by Source'!$A87,'Budget by Source'!$A$6:$A$335,0),MATCH(T$3,'Budget by Source'!$A$5:$I$5,0))/10,0)*10)</f>
        <v>-3</v>
      </c>
      <c r="U87" s="159">
        <f>INDEX('Budget by Source'!$A$6:$I$335,MATCH('Payment by Source'!$A87,'Budget by Source'!$A$6:$A$335,0),MATCH(U$3,'Budget by Source'!$A$5:$I$5,0))</f>
        <v>5483011</v>
      </c>
      <c r="V87" s="156">
        <f t="shared" si="4"/>
        <v>548301</v>
      </c>
      <c r="W87" s="156">
        <f t="shared" si="5"/>
        <v>5483010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29824</v>
      </c>
      <c r="D88" s="22">
        <f>IF(Notes!$B$2="June",ROUND('Budget by Source'!D88/10,0)+Q88,ROUND('Budget by Source'!D88/10,0))</f>
        <v>80333</v>
      </c>
      <c r="E88" s="22">
        <f>IF(Notes!$B$2="June",ROUND('Budget by Source'!E88/10,0)+R88,ROUND('Budget by Source'!E88/10,0))</f>
        <v>8826</v>
      </c>
      <c r="F88" s="22">
        <f>IF(Notes!$B$2="June",ROUND('Budget by Source'!F88/10,0)+S88,ROUND('Budget by Source'!F88/10,0))</f>
        <v>9762</v>
      </c>
      <c r="G88" s="22">
        <f>IF(Notes!$B$2="June",ROUND('Budget by Source'!G88/10,0)+T88,ROUND('Budget by Source'!G88/10,0))</f>
        <v>44634</v>
      </c>
      <c r="H88" s="22">
        <f t="shared" si="3"/>
        <v>520905</v>
      </c>
      <c r="I88" s="22">
        <f>INDEX(Data[],MATCH($A88,Data[Dist],0),MATCH(I$5,Data[#Headers],0))</f>
        <v>694284</v>
      </c>
      <c r="K88" s="70">
        <f>INDEX('Payment Total'!$A$7:$H$336,MATCH('Payment by Source'!$A88,'Payment Total'!$A$7:$A$336,0),6)-I88</f>
        <v>0</v>
      </c>
      <c r="P88" s="158">
        <f>INDEX('Budget by Source'!$A$6:$I$335,MATCH('Payment by Source'!$A88,'Budget by Source'!$A$6:$A$335,0),MATCH(P$3,'Budget by Source'!$A$5:$I$5,0))-(ROUND(INDEX('Budget by Source'!$A$6:$I$335,MATCH('Payment by Source'!$A88,'Budget by Source'!$A$6:$A$335,0),MATCH(P$3,'Budget by Source'!$A$5:$I$5,0))/10,0)*10)</f>
        <v>-4</v>
      </c>
      <c r="Q88" s="158">
        <f>INDEX('Budget by Source'!$A$6:$I$335,MATCH('Payment by Source'!$A88,'Budget by Source'!$A$6:$A$335,0),MATCH(Q$3,'Budget by Source'!$A$5:$I$5,0))-(ROUND(INDEX('Budget by Source'!$A$6:$I$335,MATCH('Payment by Source'!$A88,'Budget by Source'!$A$6:$A$335,0),MATCH(Q$3,'Budget by Source'!$A$5:$I$5,0))/10,0)*10)</f>
        <v>4</v>
      </c>
      <c r="R88" s="158">
        <f>INDEX('Budget by Source'!$A$6:$I$335,MATCH('Payment by Source'!$A88,'Budget by Source'!$A$6:$A$335,0),MATCH(R$3,'Budget by Source'!$A$5:$I$5,0))-(ROUND(INDEX('Budget by Source'!$A$6:$I$335,MATCH('Payment by Source'!$A88,'Budget by Source'!$A$6:$A$335,0),MATCH(R$3,'Budget by Source'!$A$5:$I$5,0))/10,0)*10)</f>
        <v>0</v>
      </c>
      <c r="S88" s="158">
        <f>INDEX('Budget by Source'!$A$6:$I$335,MATCH('Payment by Source'!$A88,'Budget by Source'!$A$6:$A$335,0),MATCH(S$3,'Budget by Source'!$A$5:$I$5,0))-(ROUND(INDEX('Budget by Source'!$A$6:$I$335,MATCH('Payment by Source'!$A88,'Budget by Source'!$A$6:$A$335,0),MATCH(S$3,'Budget by Source'!$A$5:$I$5,0))/10,0)*10)</f>
        <v>-2</v>
      </c>
      <c r="T88" s="158">
        <f>INDEX('Budget by Source'!$A$6:$I$335,MATCH('Payment by Source'!$A88,'Budget by Source'!$A$6:$A$335,0),MATCH(T$3,'Budget by Source'!$A$5:$I$5,0))-(ROUND(INDEX('Budget by Source'!$A$6:$I$335,MATCH('Payment by Source'!$A88,'Budget by Source'!$A$6:$A$335,0),MATCH(T$3,'Budget by Source'!$A$5:$I$5,0))/10,0)*10)</f>
        <v>-2</v>
      </c>
      <c r="U88" s="159">
        <f>INDEX('Budget by Source'!$A$6:$I$335,MATCH('Payment by Source'!$A88,'Budget by Source'!$A$6:$A$335,0),MATCH(U$3,'Budget by Source'!$A$5:$I$5,0))</f>
        <v>5231782</v>
      </c>
      <c r="V88" s="156">
        <f t="shared" si="4"/>
        <v>523178</v>
      </c>
      <c r="W88" s="156">
        <f t="shared" si="5"/>
        <v>5231780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6701</v>
      </c>
      <c r="D89" s="22">
        <f>IF(Notes!$B$2="June",ROUND('Budget by Source'!D89/10,0)+Q89,ROUND('Budget by Source'!D89/10,0))</f>
        <v>10165</v>
      </c>
      <c r="E89" s="22">
        <f>IF(Notes!$B$2="June",ROUND('Budget by Source'!E89/10,0)+R89,ROUND('Budget by Source'!E89/10,0))</f>
        <v>1347</v>
      </c>
      <c r="F89" s="22">
        <f>IF(Notes!$B$2="June",ROUND('Budget by Source'!F89/10,0)+S89,ROUND('Budget by Source'!F89/10,0))</f>
        <v>828</v>
      </c>
      <c r="G89" s="22">
        <f>IF(Notes!$B$2="June",ROUND('Budget by Source'!G89/10,0)+T89,ROUND('Budget by Source'!G89/10,0))</f>
        <v>6452</v>
      </c>
      <c r="H89" s="22">
        <f t="shared" si="3"/>
        <v>81453</v>
      </c>
      <c r="I89" s="22">
        <f>INDEX(Data[],MATCH($A89,Data[Dist],0),MATCH(I$5,Data[#Headers],0))</f>
        <v>106946</v>
      </c>
      <c r="K89" s="70">
        <f>INDEX('Payment Total'!$A$7:$H$336,MATCH('Payment by Source'!$A89,'Payment Total'!$A$7:$A$336,0),6)-I89</f>
        <v>0</v>
      </c>
      <c r="P89" s="158">
        <f>INDEX('Budget by Source'!$A$6:$I$335,MATCH('Payment by Source'!$A89,'Budget by Source'!$A$6:$A$335,0),MATCH(P$3,'Budget by Source'!$A$5:$I$5,0))-(ROUND(INDEX('Budget by Source'!$A$6:$I$335,MATCH('Payment by Source'!$A89,'Budget by Source'!$A$6:$A$335,0),MATCH(P$3,'Budget by Source'!$A$5:$I$5,0))/10,0)*10)</f>
        <v>-2</v>
      </c>
      <c r="Q89" s="158">
        <f>INDEX('Budget by Source'!$A$6:$I$335,MATCH('Payment by Source'!$A89,'Budget by Source'!$A$6:$A$335,0),MATCH(Q$3,'Budget by Source'!$A$5:$I$5,0))-(ROUND(INDEX('Budget by Source'!$A$6:$I$335,MATCH('Payment by Source'!$A89,'Budget by Source'!$A$6:$A$335,0),MATCH(Q$3,'Budget by Source'!$A$5:$I$5,0))/10,0)*10)</f>
        <v>2</v>
      </c>
      <c r="R89" s="158">
        <f>INDEX('Budget by Source'!$A$6:$I$335,MATCH('Payment by Source'!$A89,'Budget by Source'!$A$6:$A$335,0),MATCH(R$3,'Budget by Source'!$A$5:$I$5,0))-(ROUND(INDEX('Budget by Source'!$A$6:$I$335,MATCH('Payment by Source'!$A89,'Budget by Source'!$A$6:$A$335,0),MATCH(R$3,'Budget by Source'!$A$5:$I$5,0))/10,0)*10)</f>
        <v>4</v>
      </c>
      <c r="S89" s="158">
        <f>INDEX('Budget by Source'!$A$6:$I$335,MATCH('Payment by Source'!$A89,'Budget by Source'!$A$6:$A$335,0),MATCH(S$3,'Budget by Source'!$A$5:$I$5,0))-(ROUND(INDEX('Budget by Source'!$A$6:$I$335,MATCH('Payment by Source'!$A89,'Budget by Source'!$A$6:$A$335,0),MATCH(S$3,'Budget by Source'!$A$5:$I$5,0))/10,0)*10)</f>
        <v>-5</v>
      </c>
      <c r="T89" s="158">
        <f>INDEX('Budget by Source'!$A$6:$I$335,MATCH('Payment by Source'!$A89,'Budget by Source'!$A$6:$A$335,0),MATCH(T$3,'Budget by Source'!$A$5:$I$5,0))-(ROUND(INDEX('Budget by Source'!$A$6:$I$335,MATCH('Payment by Source'!$A89,'Budget by Source'!$A$6:$A$335,0),MATCH(T$3,'Budget by Source'!$A$5:$I$5,0))/10,0)*10)</f>
        <v>4</v>
      </c>
      <c r="U89" s="159">
        <f>INDEX('Budget by Source'!$A$6:$I$335,MATCH('Payment by Source'!$A89,'Budget by Source'!$A$6:$A$335,0),MATCH(U$3,'Budget by Source'!$A$5:$I$5,0))</f>
        <v>817863</v>
      </c>
      <c r="V89" s="156">
        <f t="shared" si="4"/>
        <v>81786</v>
      </c>
      <c r="W89" s="156">
        <f t="shared" si="5"/>
        <v>817860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40553</v>
      </c>
      <c r="D90" s="22">
        <f>IF(Notes!$B$2="June",ROUND('Budget by Source'!D90/10,0)+Q90,ROUND('Budget by Source'!D90/10,0))</f>
        <v>114388</v>
      </c>
      <c r="E90" s="22">
        <f>IF(Notes!$B$2="June",ROUND('Budget by Source'!E90/10,0)+R90,ROUND('Budget by Source'!E90/10,0))</f>
        <v>17088</v>
      </c>
      <c r="F90" s="22">
        <f>IF(Notes!$B$2="June",ROUND('Budget by Source'!F90/10,0)+S90,ROUND('Budget by Source'!F90/10,0))</f>
        <v>13984</v>
      </c>
      <c r="G90" s="22">
        <f>IF(Notes!$B$2="June",ROUND('Budget by Source'!G90/10,0)+T90,ROUND('Budget by Source'!G90/10,0))</f>
        <v>68595</v>
      </c>
      <c r="H90" s="22">
        <f t="shared" si="3"/>
        <v>1275682</v>
      </c>
      <c r="I90" s="22">
        <f>INDEX(Data[],MATCH($A90,Data[Dist],0),MATCH(I$5,Data[#Headers],0))</f>
        <v>1530290</v>
      </c>
      <c r="K90" s="70">
        <f>INDEX('Payment Total'!$A$7:$H$336,MATCH('Payment by Source'!$A90,'Payment Total'!$A$7:$A$336,0),6)-I90</f>
        <v>0</v>
      </c>
      <c r="P90" s="158">
        <f>INDEX('Budget by Source'!$A$6:$I$335,MATCH('Payment by Source'!$A90,'Budget by Source'!$A$6:$A$335,0),MATCH(P$3,'Budget by Source'!$A$5:$I$5,0))-(ROUND(INDEX('Budget by Source'!$A$6:$I$335,MATCH('Payment by Source'!$A90,'Budget by Source'!$A$6:$A$335,0),MATCH(P$3,'Budget by Source'!$A$5:$I$5,0))/10,0)*10)</f>
        <v>1</v>
      </c>
      <c r="Q90" s="158">
        <f>INDEX('Budget by Source'!$A$6:$I$335,MATCH('Payment by Source'!$A90,'Budget by Source'!$A$6:$A$335,0),MATCH(Q$3,'Budget by Source'!$A$5:$I$5,0))-(ROUND(INDEX('Budget by Source'!$A$6:$I$335,MATCH('Payment by Source'!$A90,'Budget by Source'!$A$6:$A$335,0),MATCH(Q$3,'Budget by Source'!$A$5:$I$5,0))/10,0)*10)</f>
        <v>-1</v>
      </c>
      <c r="R90" s="158">
        <f>INDEX('Budget by Source'!$A$6:$I$335,MATCH('Payment by Source'!$A90,'Budget by Source'!$A$6:$A$335,0),MATCH(R$3,'Budget by Source'!$A$5:$I$5,0))-(ROUND(INDEX('Budget by Source'!$A$6:$I$335,MATCH('Payment by Source'!$A90,'Budget by Source'!$A$6:$A$335,0),MATCH(R$3,'Budget by Source'!$A$5:$I$5,0))/10,0)*10)</f>
        <v>3</v>
      </c>
      <c r="S90" s="158">
        <f>INDEX('Budget by Source'!$A$6:$I$335,MATCH('Payment by Source'!$A90,'Budget by Source'!$A$6:$A$335,0),MATCH(S$3,'Budget by Source'!$A$5:$I$5,0))-(ROUND(INDEX('Budget by Source'!$A$6:$I$335,MATCH('Payment by Source'!$A90,'Budget by Source'!$A$6:$A$335,0),MATCH(S$3,'Budget by Source'!$A$5:$I$5,0))/10,0)*10)</f>
        <v>2</v>
      </c>
      <c r="T90" s="158">
        <f>INDEX('Budget by Source'!$A$6:$I$335,MATCH('Payment by Source'!$A90,'Budget by Source'!$A$6:$A$335,0),MATCH(T$3,'Budget by Source'!$A$5:$I$5,0))-(ROUND(INDEX('Budget by Source'!$A$6:$I$335,MATCH('Payment by Source'!$A90,'Budget by Source'!$A$6:$A$335,0),MATCH(T$3,'Budget by Source'!$A$5:$I$5,0))/10,0)*10)</f>
        <v>-3</v>
      </c>
      <c r="U90" s="159">
        <f>INDEX('Budget by Source'!$A$6:$I$335,MATCH('Payment by Source'!$A90,'Budget by Source'!$A$6:$A$335,0),MATCH(U$3,'Budget by Source'!$A$5:$I$5,0))</f>
        <v>13066887</v>
      </c>
      <c r="V90" s="156">
        <f t="shared" si="4"/>
        <v>1306689</v>
      </c>
      <c r="W90" s="156">
        <f t="shared" si="5"/>
        <v>13066890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19776</v>
      </c>
      <c r="D91" s="22">
        <f>IF(Notes!$B$2="June",ROUND('Budget by Source'!D91/10,0)+Q91,ROUND('Budget by Source'!D91/10,0))</f>
        <v>43797</v>
      </c>
      <c r="E91" s="22">
        <f>IF(Notes!$B$2="June",ROUND('Budget by Source'!E91/10,0)+R91,ROUND('Budget by Source'!E91/10,0))</f>
        <v>4101</v>
      </c>
      <c r="F91" s="22">
        <f>IF(Notes!$B$2="June",ROUND('Budget by Source'!F91/10,0)+S91,ROUND('Budget by Source'!F91/10,0))</f>
        <v>4161</v>
      </c>
      <c r="G91" s="22">
        <f>IF(Notes!$B$2="June",ROUND('Budget by Source'!G91/10,0)+T91,ROUND('Budget by Source'!G91/10,0))</f>
        <v>24483</v>
      </c>
      <c r="H91" s="22">
        <f t="shared" si="3"/>
        <v>337522</v>
      </c>
      <c r="I91" s="22">
        <f>INDEX(Data[],MATCH($A91,Data[Dist],0),MATCH(I$5,Data[#Headers],0))</f>
        <v>433840</v>
      </c>
      <c r="K91" s="70">
        <f>INDEX('Payment Total'!$A$7:$H$336,MATCH('Payment by Source'!$A91,'Payment Total'!$A$7:$A$336,0),6)-I91</f>
        <v>0</v>
      </c>
      <c r="P91" s="158">
        <f>INDEX('Budget by Source'!$A$6:$I$335,MATCH('Payment by Source'!$A91,'Budget by Source'!$A$6:$A$335,0),MATCH(P$3,'Budget by Source'!$A$5:$I$5,0))-(ROUND(INDEX('Budget by Source'!$A$6:$I$335,MATCH('Payment by Source'!$A91,'Budget by Source'!$A$6:$A$335,0),MATCH(P$3,'Budget by Source'!$A$5:$I$5,0))/10,0)*10)</f>
        <v>3</v>
      </c>
      <c r="Q91" s="158">
        <f>INDEX('Budget by Source'!$A$6:$I$335,MATCH('Payment by Source'!$A91,'Budget by Source'!$A$6:$A$335,0),MATCH(Q$3,'Budget by Source'!$A$5:$I$5,0))-(ROUND(INDEX('Budget by Source'!$A$6:$I$335,MATCH('Payment by Source'!$A91,'Budget by Source'!$A$6:$A$335,0),MATCH(Q$3,'Budget by Source'!$A$5:$I$5,0))/10,0)*10)</f>
        <v>0</v>
      </c>
      <c r="R91" s="158">
        <f>INDEX('Budget by Source'!$A$6:$I$335,MATCH('Payment by Source'!$A91,'Budget by Source'!$A$6:$A$335,0),MATCH(R$3,'Budget by Source'!$A$5:$I$5,0))-(ROUND(INDEX('Budget by Source'!$A$6:$I$335,MATCH('Payment by Source'!$A91,'Budget by Source'!$A$6:$A$335,0),MATCH(R$3,'Budget by Source'!$A$5:$I$5,0))/10,0)*10)</f>
        <v>-5</v>
      </c>
      <c r="S91" s="158">
        <f>INDEX('Budget by Source'!$A$6:$I$335,MATCH('Payment by Source'!$A91,'Budget by Source'!$A$6:$A$335,0),MATCH(S$3,'Budget by Source'!$A$5:$I$5,0))-(ROUND(INDEX('Budget by Source'!$A$6:$I$335,MATCH('Payment by Source'!$A91,'Budget by Source'!$A$6:$A$335,0),MATCH(S$3,'Budget by Source'!$A$5:$I$5,0))/10,0)*10)</f>
        <v>0</v>
      </c>
      <c r="T91" s="158">
        <f>INDEX('Budget by Source'!$A$6:$I$335,MATCH('Payment by Source'!$A91,'Budget by Source'!$A$6:$A$335,0),MATCH(T$3,'Budget by Source'!$A$5:$I$5,0))-(ROUND(INDEX('Budget by Source'!$A$6:$I$335,MATCH('Payment by Source'!$A91,'Budget by Source'!$A$6:$A$335,0),MATCH(T$3,'Budget by Source'!$A$5:$I$5,0))/10,0)*10)</f>
        <v>-5</v>
      </c>
      <c r="U91" s="159">
        <f>INDEX('Budget by Source'!$A$6:$I$335,MATCH('Payment by Source'!$A91,'Budget by Source'!$A$6:$A$335,0),MATCH(U$3,'Budget by Source'!$A$5:$I$5,0))</f>
        <v>3520131</v>
      </c>
      <c r="V91" s="156">
        <f t="shared" si="4"/>
        <v>352013</v>
      </c>
      <c r="W91" s="156">
        <f t="shared" si="5"/>
        <v>3520130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518127</v>
      </c>
      <c r="D92" s="22">
        <f>IF(Notes!$B$2="June",ROUND('Budget by Source'!D92/10,0)+Q92,ROUND('Budget by Source'!D92/10,0))</f>
        <v>2010384</v>
      </c>
      <c r="E92" s="22">
        <f>IF(Notes!$B$2="June",ROUND('Budget by Source'!E92/10,0)+R92,ROUND('Budget by Source'!E92/10,0))</f>
        <v>301781</v>
      </c>
      <c r="F92" s="22">
        <f>IF(Notes!$B$2="June",ROUND('Budget by Source'!F92/10,0)+S92,ROUND('Budget by Source'!F92/10,0))</f>
        <v>250374</v>
      </c>
      <c r="G92" s="22">
        <f>IF(Notes!$B$2="June",ROUND('Budget by Source'!G92/10,0)+T92,ROUND('Budget by Source'!G92/10,0))</f>
        <v>1079325</v>
      </c>
      <c r="H92" s="22">
        <f t="shared" si="3"/>
        <v>20339799</v>
      </c>
      <c r="I92" s="22">
        <f>INDEX(Data[],MATCH($A92,Data[Dist],0),MATCH(I$5,Data[#Headers],0))</f>
        <v>24499790</v>
      </c>
      <c r="K92" s="70">
        <f>INDEX('Payment Total'!$A$7:$H$336,MATCH('Payment by Source'!$A92,'Payment Total'!$A$7:$A$336,0),6)-I92</f>
        <v>0</v>
      </c>
      <c r="P92" s="158">
        <f>INDEX('Budget by Source'!$A$6:$I$335,MATCH('Payment by Source'!$A92,'Budget by Source'!$A$6:$A$335,0),MATCH(P$3,'Budget by Source'!$A$5:$I$5,0))-(ROUND(INDEX('Budget by Source'!$A$6:$I$335,MATCH('Payment by Source'!$A92,'Budget by Source'!$A$6:$A$335,0),MATCH(P$3,'Budget by Source'!$A$5:$I$5,0))/10,0)*10)</f>
        <v>-2</v>
      </c>
      <c r="Q92" s="158">
        <f>INDEX('Budget by Source'!$A$6:$I$335,MATCH('Payment by Source'!$A92,'Budget by Source'!$A$6:$A$335,0),MATCH(Q$3,'Budget by Source'!$A$5:$I$5,0))-(ROUND(INDEX('Budget by Source'!$A$6:$I$335,MATCH('Payment by Source'!$A92,'Budget by Source'!$A$6:$A$335,0),MATCH(Q$3,'Budget by Source'!$A$5:$I$5,0))/10,0)*10)</f>
        <v>-2</v>
      </c>
      <c r="R92" s="158">
        <f>INDEX('Budget by Source'!$A$6:$I$335,MATCH('Payment by Source'!$A92,'Budget by Source'!$A$6:$A$335,0),MATCH(R$3,'Budget by Source'!$A$5:$I$5,0))-(ROUND(INDEX('Budget by Source'!$A$6:$I$335,MATCH('Payment by Source'!$A92,'Budget by Source'!$A$6:$A$335,0),MATCH(R$3,'Budget by Source'!$A$5:$I$5,0))/10,0)*10)</f>
        <v>0</v>
      </c>
      <c r="S92" s="158">
        <f>INDEX('Budget by Source'!$A$6:$I$335,MATCH('Payment by Source'!$A92,'Budget by Source'!$A$6:$A$335,0),MATCH(S$3,'Budget by Source'!$A$5:$I$5,0))-(ROUND(INDEX('Budget by Source'!$A$6:$I$335,MATCH('Payment by Source'!$A92,'Budget by Source'!$A$6:$A$335,0),MATCH(S$3,'Budget by Source'!$A$5:$I$5,0))/10,0)*10)</f>
        <v>-3</v>
      </c>
      <c r="T92" s="158">
        <f>INDEX('Budget by Source'!$A$6:$I$335,MATCH('Payment by Source'!$A92,'Budget by Source'!$A$6:$A$335,0),MATCH(T$3,'Budget by Source'!$A$5:$I$5,0))-(ROUND(INDEX('Budget by Source'!$A$6:$I$335,MATCH('Payment by Source'!$A92,'Budget by Source'!$A$6:$A$335,0),MATCH(T$3,'Budget by Source'!$A$5:$I$5,0))/10,0)*10)</f>
        <v>1</v>
      </c>
      <c r="U92" s="159">
        <f>INDEX('Budget by Source'!$A$6:$I$335,MATCH('Payment by Source'!$A92,'Budget by Source'!$A$6:$A$335,0),MATCH(U$3,'Budget by Source'!$A$5:$I$5,0))</f>
        <v>203948433</v>
      </c>
      <c r="V92" s="156">
        <f t="shared" si="4"/>
        <v>20394843</v>
      </c>
      <c r="W92" s="156">
        <f t="shared" si="5"/>
        <v>203948430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3355</v>
      </c>
      <c r="D93" s="22">
        <f>IF(Notes!$B$2="June",ROUND('Budget by Source'!D93/10,0)+Q93,ROUND('Budget by Source'!D93/10,0))</f>
        <v>8374</v>
      </c>
      <c r="E93" s="22">
        <f>IF(Notes!$B$2="June",ROUND('Budget by Source'!E93/10,0)+R93,ROUND('Budget by Source'!E93/10,0))</f>
        <v>1032</v>
      </c>
      <c r="F93" s="22">
        <f>IF(Notes!$B$2="June",ROUND('Budget by Source'!F93/10,0)+S93,ROUND('Budget by Source'!F93/10,0))</f>
        <v>941</v>
      </c>
      <c r="G93" s="22">
        <f>IF(Notes!$B$2="June",ROUND('Budget by Source'!G93/10,0)+T93,ROUND('Budget by Source'!G93/10,0))</f>
        <v>3230</v>
      </c>
      <c r="H93" s="22">
        <f t="shared" si="3"/>
        <v>53415</v>
      </c>
      <c r="I93" s="22">
        <f>INDEX(Data[],MATCH($A93,Data[Dist],0),MATCH(I$5,Data[#Headers],0))</f>
        <v>70347</v>
      </c>
      <c r="K93" s="70">
        <f>INDEX('Payment Total'!$A$7:$H$336,MATCH('Payment by Source'!$A93,'Payment Total'!$A$7:$A$336,0),6)-I93</f>
        <v>0</v>
      </c>
      <c r="P93" s="158">
        <f>INDEX('Budget by Source'!$A$6:$I$335,MATCH('Payment by Source'!$A93,'Budget by Source'!$A$6:$A$335,0),MATCH(P$3,'Budget by Source'!$A$5:$I$5,0))-(ROUND(INDEX('Budget by Source'!$A$6:$I$335,MATCH('Payment by Source'!$A93,'Budget by Source'!$A$6:$A$335,0),MATCH(P$3,'Budget by Source'!$A$5:$I$5,0))/10,0)*10)</f>
        <v>4</v>
      </c>
      <c r="Q93" s="158">
        <f>INDEX('Budget by Source'!$A$6:$I$335,MATCH('Payment by Source'!$A93,'Budget by Source'!$A$6:$A$335,0),MATCH(Q$3,'Budget by Source'!$A$5:$I$5,0))-(ROUND(INDEX('Budget by Source'!$A$6:$I$335,MATCH('Payment by Source'!$A93,'Budget by Source'!$A$6:$A$335,0),MATCH(Q$3,'Budget by Source'!$A$5:$I$5,0))/10,0)*10)</f>
        <v>0</v>
      </c>
      <c r="R93" s="158">
        <f>INDEX('Budget by Source'!$A$6:$I$335,MATCH('Payment by Source'!$A93,'Budget by Source'!$A$6:$A$335,0),MATCH(R$3,'Budget by Source'!$A$5:$I$5,0))-(ROUND(INDEX('Budget by Source'!$A$6:$I$335,MATCH('Payment by Source'!$A93,'Budget by Source'!$A$6:$A$335,0),MATCH(R$3,'Budget by Source'!$A$5:$I$5,0))/10,0)*10)</f>
        <v>-1</v>
      </c>
      <c r="S93" s="158">
        <f>INDEX('Budget by Source'!$A$6:$I$335,MATCH('Payment by Source'!$A93,'Budget by Source'!$A$6:$A$335,0),MATCH(S$3,'Budget by Source'!$A$5:$I$5,0))-(ROUND(INDEX('Budget by Source'!$A$6:$I$335,MATCH('Payment by Source'!$A93,'Budget by Source'!$A$6:$A$335,0),MATCH(S$3,'Budget by Source'!$A$5:$I$5,0))/10,0)*10)</f>
        <v>4</v>
      </c>
      <c r="T93" s="158">
        <f>INDEX('Budget by Source'!$A$6:$I$335,MATCH('Payment by Source'!$A93,'Budget by Source'!$A$6:$A$335,0),MATCH(T$3,'Budget by Source'!$A$5:$I$5,0))-(ROUND(INDEX('Budget by Source'!$A$6:$I$335,MATCH('Payment by Source'!$A93,'Budget by Source'!$A$6:$A$335,0),MATCH(T$3,'Budget by Source'!$A$5:$I$5,0))/10,0)*10)</f>
        <v>-3</v>
      </c>
      <c r="U93" s="159">
        <f>INDEX('Budget by Source'!$A$6:$I$335,MATCH('Payment by Source'!$A93,'Budget by Source'!$A$6:$A$335,0),MATCH(U$3,'Budget by Source'!$A$5:$I$5,0))</f>
        <v>535846</v>
      </c>
      <c r="V93" s="156">
        <f t="shared" si="4"/>
        <v>53585</v>
      </c>
      <c r="W93" s="156">
        <f t="shared" si="5"/>
        <v>535850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12066</v>
      </c>
      <c r="D94" s="22">
        <f>IF(Notes!$B$2="June",ROUND('Budget by Source'!D94/10,0)+Q94,ROUND('Budget by Source'!D94/10,0))</f>
        <v>53149</v>
      </c>
      <c r="E94" s="22">
        <f>IF(Notes!$B$2="June",ROUND('Budget by Source'!E94/10,0)+R94,ROUND('Budget by Source'!E94/10,0))</f>
        <v>5317</v>
      </c>
      <c r="F94" s="22">
        <f>IF(Notes!$B$2="June",ROUND('Budget by Source'!F94/10,0)+S94,ROUND('Budget by Source'!F94/10,0))</f>
        <v>5609</v>
      </c>
      <c r="G94" s="22">
        <f>IF(Notes!$B$2="June",ROUND('Budget by Source'!G94/10,0)+T94,ROUND('Budget by Source'!G94/10,0))</f>
        <v>28802</v>
      </c>
      <c r="H94" s="22">
        <f t="shared" si="3"/>
        <v>444831</v>
      </c>
      <c r="I94" s="22">
        <f>INDEX(Data[],MATCH($A94,Data[Dist],0),MATCH(I$5,Data[#Headers],0))</f>
        <v>549774</v>
      </c>
      <c r="K94" s="70">
        <f>INDEX('Payment Total'!$A$7:$H$336,MATCH('Payment by Source'!$A94,'Payment Total'!$A$7:$A$336,0),6)-I94</f>
        <v>0</v>
      </c>
      <c r="P94" s="158">
        <f>INDEX('Budget by Source'!$A$6:$I$335,MATCH('Payment by Source'!$A94,'Budget by Source'!$A$6:$A$335,0),MATCH(P$3,'Budget by Source'!$A$5:$I$5,0))-(ROUND(INDEX('Budget by Source'!$A$6:$I$335,MATCH('Payment by Source'!$A94,'Budget by Source'!$A$6:$A$335,0),MATCH(P$3,'Budget by Source'!$A$5:$I$5,0))/10,0)*10)</f>
        <v>1</v>
      </c>
      <c r="Q94" s="158">
        <f>INDEX('Budget by Source'!$A$6:$I$335,MATCH('Payment by Source'!$A94,'Budget by Source'!$A$6:$A$335,0),MATCH(Q$3,'Budget by Source'!$A$5:$I$5,0))-(ROUND(INDEX('Budget by Source'!$A$6:$I$335,MATCH('Payment by Source'!$A94,'Budget by Source'!$A$6:$A$335,0),MATCH(Q$3,'Budget by Source'!$A$5:$I$5,0))/10,0)*10)</f>
        <v>-1</v>
      </c>
      <c r="R94" s="158">
        <f>INDEX('Budget by Source'!$A$6:$I$335,MATCH('Payment by Source'!$A94,'Budget by Source'!$A$6:$A$335,0),MATCH(R$3,'Budget by Source'!$A$5:$I$5,0))-(ROUND(INDEX('Budget by Source'!$A$6:$I$335,MATCH('Payment by Source'!$A94,'Budget by Source'!$A$6:$A$335,0),MATCH(R$3,'Budget by Source'!$A$5:$I$5,0))/10,0)*10)</f>
        <v>0</v>
      </c>
      <c r="S94" s="158">
        <f>INDEX('Budget by Source'!$A$6:$I$335,MATCH('Payment by Source'!$A94,'Budget by Source'!$A$6:$A$335,0),MATCH(S$3,'Budget by Source'!$A$5:$I$5,0))-(ROUND(INDEX('Budget by Source'!$A$6:$I$335,MATCH('Payment by Source'!$A94,'Budget by Source'!$A$6:$A$335,0),MATCH(S$3,'Budget by Source'!$A$5:$I$5,0))/10,0)*10)</f>
        <v>1</v>
      </c>
      <c r="T94" s="158">
        <f>INDEX('Budget by Source'!$A$6:$I$335,MATCH('Payment by Source'!$A94,'Budget by Source'!$A$6:$A$335,0),MATCH(T$3,'Budget by Source'!$A$5:$I$5,0))-(ROUND(INDEX('Budget by Source'!$A$6:$I$335,MATCH('Payment by Source'!$A94,'Budget by Source'!$A$6:$A$335,0),MATCH(T$3,'Budget by Source'!$A$5:$I$5,0))/10,0)*10)</f>
        <v>-2</v>
      </c>
      <c r="U94" s="159">
        <f>INDEX('Budget by Source'!$A$6:$I$335,MATCH('Payment by Source'!$A94,'Budget by Source'!$A$6:$A$335,0),MATCH(U$3,'Budget by Source'!$A$5:$I$5,0))</f>
        <v>4462984</v>
      </c>
      <c r="V94" s="156">
        <f t="shared" si="4"/>
        <v>446298</v>
      </c>
      <c r="W94" s="156">
        <f t="shared" si="5"/>
        <v>4462980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234263</v>
      </c>
      <c r="D95" s="22">
        <f>IF(Notes!$B$2="June",ROUND('Budget by Source'!D95/10,0)+Q95,ROUND('Budget by Source'!D95/10,0))</f>
        <v>630330</v>
      </c>
      <c r="E95" s="22">
        <f>IF(Notes!$B$2="June",ROUND('Budget by Source'!E95/10,0)+R95,ROUND('Budget by Source'!E95/10,0))</f>
        <v>75480</v>
      </c>
      <c r="F95" s="22">
        <f>IF(Notes!$B$2="June",ROUND('Budget by Source'!F95/10,0)+S95,ROUND('Budget by Source'!F95/10,0))</f>
        <v>74776</v>
      </c>
      <c r="G95" s="22">
        <f>IF(Notes!$B$2="June",ROUND('Budget by Source'!G95/10,0)+T95,ROUND('Budget by Source'!G95/10,0))</f>
        <v>343047</v>
      </c>
      <c r="H95" s="22">
        <f t="shared" si="3"/>
        <v>5205827</v>
      </c>
      <c r="I95" s="22">
        <f>INDEX(Data[],MATCH($A95,Data[Dist],0),MATCH(I$5,Data[#Headers],0))</f>
        <v>6563723</v>
      </c>
      <c r="K95" s="70">
        <f>INDEX('Payment Total'!$A$7:$H$336,MATCH('Payment by Source'!$A95,'Payment Total'!$A$7:$A$336,0),6)-I95</f>
        <v>0</v>
      </c>
      <c r="P95" s="158">
        <f>INDEX('Budget by Source'!$A$6:$I$335,MATCH('Payment by Source'!$A95,'Budget by Source'!$A$6:$A$335,0),MATCH(P$3,'Budget by Source'!$A$5:$I$5,0))-(ROUND(INDEX('Budget by Source'!$A$6:$I$335,MATCH('Payment by Source'!$A95,'Budget by Source'!$A$6:$A$335,0),MATCH(P$3,'Budget by Source'!$A$5:$I$5,0))/10,0)*10)</f>
        <v>-1</v>
      </c>
      <c r="Q95" s="158">
        <f>INDEX('Budget by Source'!$A$6:$I$335,MATCH('Payment by Source'!$A95,'Budget by Source'!$A$6:$A$335,0),MATCH(Q$3,'Budget by Source'!$A$5:$I$5,0))-(ROUND(INDEX('Budget by Source'!$A$6:$I$335,MATCH('Payment by Source'!$A95,'Budget by Source'!$A$6:$A$335,0),MATCH(Q$3,'Budget by Source'!$A$5:$I$5,0))/10,0)*10)</f>
        <v>-5</v>
      </c>
      <c r="R95" s="158">
        <f>INDEX('Budget by Source'!$A$6:$I$335,MATCH('Payment by Source'!$A95,'Budget by Source'!$A$6:$A$335,0),MATCH(R$3,'Budget by Source'!$A$5:$I$5,0))-(ROUND(INDEX('Budget by Source'!$A$6:$I$335,MATCH('Payment by Source'!$A95,'Budget by Source'!$A$6:$A$335,0),MATCH(R$3,'Budget by Source'!$A$5:$I$5,0))/10,0)*10)</f>
        <v>-1</v>
      </c>
      <c r="S95" s="158">
        <f>INDEX('Budget by Source'!$A$6:$I$335,MATCH('Payment by Source'!$A95,'Budget by Source'!$A$6:$A$335,0),MATCH(S$3,'Budget by Source'!$A$5:$I$5,0))-(ROUND(INDEX('Budget by Source'!$A$6:$I$335,MATCH('Payment by Source'!$A95,'Budget by Source'!$A$6:$A$335,0),MATCH(S$3,'Budget by Source'!$A$5:$I$5,0))/10,0)*10)</f>
        <v>-1</v>
      </c>
      <c r="T95" s="158">
        <f>INDEX('Budget by Source'!$A$6:$I$335,MATCH('Payment by Source'!$A95,'Budget by Source'!$A$6:$A$335,0),MATCH(T$3,'Budget by Source'!$A$5:$I$5,0))-(ROUND(INDEX('Budget by Source'!$A$6:$I$335,MATCH('Payment by Source'!$A95,'Budget by Source'!$A$6:$A$335,0),MATCH(T$3,'Budget by Source'!$A$5:$I$5,0))/10,0)*10)</f>
        <v>0</v>
      </c>
      <c r="U95" s="159">
        <f>INDEX('Budget by Source'!$A$6:$I$335,MATCH('Payment by Source'!$A95,'Budget by Source'!$A$6:$A$335,0),MATCH(U$3,'Budget by Source'!$A$5:$I$5,0))</f>
        <v>52233162</v>
      </c>
      <c r="V95" s="156">
        <f t="shared" si="4"/>
        <v>5223316</v>
      </c>
      <c r="W95" s="156">
        <f t="shared" si="5"/>
        <v>52233160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7374</v>
      </c>
      <c r="D96" s="22">
        <f>IF(Notes!$B$2="June",ROUND('Budget by Source'!D96/10,0)+Q96,ROUND('Budget by Source'!D96/10,0))</f>
        <v>25551</v>
      </c>
      <c r="E96" s="22">
        <f>IF(Notes!$B$2="June",ROUND('Budget by Source'!E96/10,0)+R96,ROUND('Budget by Source'!E96/10,0))</f>
        <v>2865</v>
      </c>
      <c r="F96" s="22">
        <f>IF(Notes!$B$2="June",ROUND('Budget by Source'!F96/10,0)+S96,ROUND('Budget by Source'!F96/10,0))</f>
        <v>2666</v>
      </c>
      <c r="G96" s="22">
        <f>IF(Notes!$B$2="June",ROUND('Budget by Source'!G96/10,0)+T96,ROUND('Budget by Source'!G96/10,0))</f>
        <v>13691</v>
      </c>
      <c r="H96" s="22">
        <f t="shared" si="3"/>
        <v>191030</v>
      </c>
      <c r="I96" s="22">
        <f>INDEX(Data[],MATCH($A96,Data[Dist],0),MATCH(I$5,Data[#Headers],0))</f>
        <v>243177</v>
      </c>
      <c r="K96" s="70">
        <f>INDEX('Payment Total'!$A$7:$H$336,MATCH('Payment by Source'!$A96,'Payment Total'!$A$7:$A$336,0),6)-I96</f>
        <v>0</v>
      </c>
      <c r="P96" s="158">
        <f>INDEX('Budget by Source'!$A$6:$I$335,MATCH('Payment by Source'!$A96,'Budget by Source'!$A$6:$A$335,0),MATCH(P$3,'Budget by Source'!$A$5:$I$5,0))-(ROUND(INDEX('Budget by Source'!$A$6:$I$335,MATCH('Payment by Source'!$A96,'Budget by Source'!$A$6:$A$335,0),MATCH(P$3,'Budget by Source'!$A$5:$I$5,0))/10,0)*10)</f>
        <v>1</v>
      </c>
      <c r="Q96" s="158">
        <f>INDEX('Budget by Source'!$A$6:$I$335,MATCH('Payment by Source'!$A96,'Budget by Source'!$A$6:$A$335,0),MATCH(Q$3,'Budget by Source'!$A$5:$I$5,0))-(ROUND(INDEX('Budget by Source'!$A$6:$I$335,MATCH('Payment by Source'!$A96,'Budget by Source'!$A$6:$A$335,0),MATCH(Q$3,'Budget by Source'!$A$5:$I$5,0))/10,0)*10)</f>
        <v>-5</v>
      </c>
      <c r="R96" s="158">
        <f>INDEX('Budget by Source'!$A$6:$I$335,MATCH('Payment by Source'!$A96,'Budget by Source'!$A$6:$A$335,0),MATCH(R$3,'Budget by Source'!$A$5:$I$5,0))-(ROUND(INDEX('Budget by Source'!$A$6:$I$335,MATCH('Payment by Source'!$A96,'Budget by Source'!$A$6:$A$335,0),MATCH(R$3,'Budget by Source'!$A$5:$I$5,0))/10,0)*10)</f>
        <v>-1</v>
      </c>
      <c r="S96" s="158">
        <f>INDEX('Budget by Source'!$A$6:$I$335,MATCH('Payment by Source'!$A96,'Budget by Source'!$A$6:$A$335,0),MATCH(S$3,'Budget by Source'!$A$5:$I$5,0))-(ROUND(INDEX('Budget by Source'!$A$6:$I$335,MATCH('Payment by Source'!$A96,'Budget by Source'!$A$6:$A$335,0),MATCH(S$3,'Budget by Source'!$A$5:$I$5,0))/10,0)*10)</f>
        <v>1</v>
      </c>
      <c r="T96" s="158">
        <f>INDEX('Budget by Source'!$A$6:$I$335,MATCH('Payment by Source'!$A96,'Budget by Source'!$A$6:$A$335,0),MATCH(T$3,'Budget by Source'!$A$5:$I$5,0))-(ROUND(INDEX('Budget by Source'!$A$6:$I$335,MATCH('Payment by Source'!$A96,'Budget by Source'!$A$6:$A$335,0),MATCH(T$3,'Budget by Source'!$A$5:$I$5,0))/10,0)*10)</f>
        <v>1</v>
      </c>
      <c r="U96" s="159">
        <f>INDEX('Budget by Source'!$A$6:$I$335,MATCH('Payment by Source'!$A96,'Budget by Source'!$A$6:$A$335,0),MATCH(U$3,'Budget by Source'!$A$5:$I$5,0))</f>
        <v>1917254</v>
      </c>
      <c r="V96" s="156">
        <f t="shared" si="4"/>
        <v>191725</v>
      </c>
      <c r="W96" s="156">
        <f t="shared" si="5"/>
        <v>1917250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8047</v>
      </c>
      <c r="D97" s="22">
        <f>IF(Notes!$B$2="June",ROUND('Budget by Source'!D97/10,0)+Q97,ROUND('Budget by Source'!D97/10,0))</f>
        <v>26891</v>
      </c>
      <c r="E97" s="22">
        <f>IF(Notes!$B$2="June",ROUND('Budget by Source'!E97/10,0)+R97,ROUND('Budget by Source'!E97/10,0))</f>
        <v>3053</v>
      </c>
      <c r="F97" s="22">
        <f>IF(Notes!$B$2="June",ROUND('Budget by Source'!F97/10,0)+S97,ROUND('Budget by Source'!F97/10,0))</f>
        <v>3219</v>
      </c>
      <c r="G97" s="22">
        <f>IF(Notes!$B$2="June",ROUND('Budget by Source'!G97/10,0)+T97,ROUND('Budget by Source'!G97/10,0))</f>
        <v>13441</v>
      </c>
      <c r="H97" s="22">
        <f t="shared" si="3"/>
        <v>171656</v>
      </c>
      <c r="I97" s="22">
        <f>INDEX(Data[],MATCH($A97,Data[Dist],0),MATCH(I$5,Data[#Headers],0))</f>
        <v>226307</v>
      </c>
      <c r="K97" s="70">
        <f>INDEX('Payment Total'!$A$7:$H$336,MATCH('Payment by Source'!$A97,'Payment Total'!$A$7:$A$336,0),6)-I97</f>
        <v>0</v>
      </c>
      <c r="P97" s="158">
        <f>INDEX('Budget by Source'!$A$6:$I$335,MATCH('Payment by Source'!$A97,'Budget by Source'!$A$6:$A$335,0),MATCH(P$3,'Budget by Source'!$A$5:$I$5,0))-(ROUND(INDEX('Budget by Source'!$A$6:$I$335,MATCH('Payment by Source'!$A97,'Budget by Source'!$A$6:$A$335,0),MATCH(P$3,'Budget by Source'!$A$5:$I$5,0))/10,0)*10)</f>
        <v>4</v>
      </c>
      <c r="Q97" s="158">
        <f>INDEX('Budget by Source'!$A$6:$I$335,MATCH('Payment by Source'!$A97,'Budget by Source'!$A$6:$A$335,0),MATCH(Q$3,'Budget by Source'!$A$5:$I$5,0))-(ROUND(INDEX('Budget by Source'!$A$6:$I$335,MATCH('Payment by Source'!$A97,'Budget by Source'!$A$6:$A$335,0),MATCH(Q$3,'Budget by Source'!$A$5:$I$5,0))/10,0)*10)</f>
        <v>-3</v>
      </c>
      <c r="R97" s="158">
        <f>INDEX('Budget by Source'!$A$6:$I$335,MATCH('Payment by Source'!$A97,'Budget by Source'!$A$6:$A$335,0),MATCH(R$3,'Budget by Source'!$A$5:$I$5,0))-(ROUND(INDEX('Budget by Source'!$A$6:$I$335,MATCH('Payment by Source'!$A97,'Budget by Source'!$A$6:$A$335,0),MATCH(R$3,'Budget by Source'!$A$5:$I$5,0))/10,0)*10)</f>
        <v>1</v>
      </c>
      <c r="S97" s="158">
        <f>INDEX('Budget by Source'!$A$6:$I$335,MATCH('Payment by Source'!$A97,'Budget by Source'!$A$6:$A$335,0),MATCH(S$3,'Budget by Source'!$A$5:$I$5,0))-(ROUND(INDEX('Budget by Source'!$A$6:$I$335,MATCH('Payment by Source'!$A97,'Budget by Source'!$A$6:$A$335,0),MATCH(S$3,'Budget by Source'!$A$5:$I$5,0))/10,0)*10)</f>
        <v>-3</v>
      </c>
      <c r="T97" s="158">
        <f>INDEX('Budget by Source'!$A$6:$I$335,MATCH('Payment by Source'!$A97,'Budget by Source'!$A$6:$A$335,0),MATCH(T$3,'Budget by Source'!$A$5:$I$5,0))-(ROUND(INDEX('Budget by Source'!$A$6:$I$335,MATCH('Payment by Source'!$A97,'Budget by Source'!$A$6:$A$335,0),MATCH(T$3,'Budget by Source'!$A$5:$I$5,0))/10,0)*10)</f>
        <v>3</v>
      </c>
      <c r="U97" s="159">
        <f>INDEX('Budget by Source'!$A$6:$I$335,MATCH('Payment by Source'!$A97,'Budget by Source'!$A$6:$A$335,0),MATCH(U$3,'Budget by Source'!$A$5:$I$5,0))</f>
        <v>1723364</v>
      </c>
      <c r="V97" s="156">
        <f t="shared" si="4"/>
        <v>172336</v>
      </c>
      <c r="W97" s="156">
        <f t="shared" si="5"/>
        <v>1723360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8047</v>
      </c>
      <c r="D98" s="22">
        <f>IF(Notes!$B$2="June",ROUND('Budget by Source'!D98/10,0)+Q98,ROUND('Budget by Source'!D98/10,0))</f>
        <v>39324</v>
      </c>
      <c r="E98" s="22">
        <f>IF(Notes!$B$2="June",ROUND('Budget by Source'!E98/10,0)+R98,ROUND('Budget by Source'!E98/10,0))</f>
        <v>3573</v>
      </c>
      <c r="F98" s="22">
        <f>IF(Notes!$B$2="June",ROUND('Budget by Source'!F98/10,0)+S98,ROUND('Budget by Source'!F98/10,0))</f>
        <v>4449</v>
      </c>
      <c r="G98" s="22">
        <f>IF(Notes!$B$2="June",ROUND('Budget by Source'!G98/10,0)+T98,ROUND('Budget by Source'!G98/10,0))</f>
        <v>18775</v>
      </c>
      <c r="H98" s="22">
        <f t="shared" si="3"/>
        <v>240833</v>
      </c>
      <c r="I98" s="22">
        <f>INDEX(Data[],MATCH($A98,Data[Dist],0),MATCH(I$5,Data[#Headers],0))</f>
        <v>315001</v>
      </c>
      <c r="K98" s="70">
        <f>INDEX('Payment Total'!$A$7:$H$336,MATCH('Payment by Source'!$A98,'Payment Total'!$A$7:$A$336,0),6)-I98</f>
        <v>0</v>
      </c>
      <c r="P98" s="158">
        <f>INDEX('Budget by Source'!$A$6:$I$335,MATCH('Payment by Source'!$A98,'Budget by Source'!$A$6:$A$335,0),MATCH(P$3,'Budget by Source'!$A$5:$I$5,0))-(ROUND(INDEX('Budget by Source'!$A$6:$I$335,MATCH('Payment by Source'!$A98,'Budget by Source'!$A$6:$A$335,0),MATCH(P$3,'Budget by Source'!$A$5:$I$5,0))/10,0)*10)</f>
        <v>4</v>
      </c>
      <c r="Q98" s="158">
        <f>INDEX('Budget by Source'!$A$6:$I$335,MATCH('Payment by Source'!$A98,'Budget by Source'!$A$6:$A$335,0),MATCH(Q$3,'Budget by Source'!$A$5:$I$5,0))-(ROUND(INDEX('Budget by Source'!$A$6:$I$335,MATCH('Payment by Source'!$A98,'Budget by Source'!$A$6:$A$335,0),MATCH(Q$3,'Budget by Source'!$A$5:$I$5,0))/10,0)*10)</f>
        <v>-5</v>
      </c>
      <c r="R98" s="158">
        <f>INDEX('Budget by Source'!$A$6:$I$335,MATCH('Payment by Source'!$A98,'Budget by Source'!$A$6:$A$335,0),MATCH(R$3,'Budget by Source'!$A$5:$I$5,0))-(ROUND(INDEX('Budget by Source'!$A$6:$I$335,MATCH('Payment by Source'!$A98,'Budget by Source'!$A$6:$A$335,0),MATCH(R$3,'Budget by Source'!$A$5:$I$5,0))/10,0)*10)</f>
        <v>-2</v>
      </c>
      <c r="S98" s="158">
        <f>INDEX('Budget by Source'!$A$6:$I$335,MATCH('Payment by Source'!$A98,'Budget by Source'!$A$6:$A$335,0),MATCH(S$3,'Budget by Source'!$A$5:$I$5,0))-(ROUND(INDEX('Budget by Source'!$A$6:$I$335,MATCH('Payment by Source'!$A98,'Budget by Source'!$A$6:$A$335,0),MATCH(S$3,'Budget by Source'!$A$5:$I$5,0))/10,0)*10)</f>
        <v>-1</v>
      </c>
      <c r="T98" s="158">
        <f>INDEX('Budget by Source'!$A$6:$I$335,MATCH('Payment by Source'!$A98,'Budget by Source'!$A$6:$A$335,0),MATCH(T$3,'Budget by Source'!$A$5:$I$5,0))-(ROUND(INDEX('Budget by Source'!$A$6:$I$335,MATCH('Payment by Source'!$A98,'Budget by Source'!$A$6:$A$335,0),MATCH(T$3,'Budget by Source'!$A$5:$I$5,0))/10,0)*10)</f>
        <v>3</v>
      </c>
      <c r="U98" s="159">
        <f>INDEX('Budget by Source'!$A$6:$I$335,MATCH('Payment by Source'!$A98,'Budget by Source'!$A$6:$A$335,0),MATCH(U$3,'Budget by Source'!$A$5:$I$5,0))</f>
        <v>2417701</v>
      </c>
      <c r="V98" s="156">
        <f t="shared" si="4"/>
        <v>241770</v>
      </c>
      <c r="W98" s="156">
        <f t="shared" si="5"/>
        <v>2417700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16421</v>
      </c>
      <c r="D99" s="22">
        <f>IF(Notes!$B$2="June",ROUND('Budget by Source'!D99/10,0)+Q99,ROUND('Budget by Source'!D99/10,0))</f>
        <v>65356</v>
      </c>
      <c r="E99" s="22">
        <f>IF(Notes!$B$2="June",ROUND('Budget by Source'!E99/10,0)+R99,ROUND('Budget by Source'!E99/10,0))</f>
        <v>6901</v>
      </c>
      <c r="F99" s="22">
        <f>IF(Notes!$B$2="June",ROUND('Budget by Source'!F99/10,0)+S99,ROUND('Budget by Source'!F99/10,0))</f>
        <v>5695</v>
      </c>
      <c r="G99" s="22">
        <f>IF(Notes!$B$2="June",ROUND('Budget by Source'!G99/10,0)+T99,ROUND('Budget by Source'!G99/10,0))</f>
        <v>35640</v>
      </c>
      <c r="H99" s="22">
        <f t="shared" si="3"/>
        <v>484085</v>
      </c>
      <c r="I99" s="22">
        <f>INDEX(Data[],MATCH($A99,Data[Dist],0),MATCH(I$5,Data[#Headers],0))</f>
        <v>614098</v>
      </c>
      <c r="K99" s="70">
        <f>INDEX('Payment Total'!$A$7:$H$336,MATCH('Payment by Source'!$A99,'Payment Total'!$A$7:$A$336,0),6)-I99</f>
        <v>0</v>
      </c>
      <c r="P99" s="158">
        <f>INDEX('Budget by Source'!$A$6:$I$335,MATCH('Payment by Source'!$A99,'Budget by Source'!$A$6:$A$335,0),MATCH(P$3,'Budget by Source'!$A$5:$I$5,0))-(ROUND(INDEX('Budget by Source'!$A$6:$I$335,MATCH('Payment by Source'!$A99,'Budget by Source'!$A$6:$A$335,0),MATCH(P$3,'Budget by Source'!$A$5:$I$5,0))/10,0)*10)</f>
        <v>-1</v>
      </c>
      <c r="Q99" s="158">
        <f>INDEX('Budget by Source'!$A$6:$I$335,MATCH('Payment by Source'!$A99,'Budget by Source'!$A$6:$A$335,0),MATCH(Q$3,'Budget by Source'!$A$5:$I$5,0))-(ROUND(INDEX('Budget by Source'!$A$6:$I$335,MATCH('Payment by Source'!$A99,'Budget by Source'!$A$6:$A$335,0),MATCH(Q$3,'Budget by Source'!$A$5:$I$5,0))/10,0)*10)</f>
        <v>-1</v>
      </c>
      <c r="R99" s="158">
        <f>INDEX('Budget by Source'!$A$6:$I$335,MATCH('Payment by Source'!$A99,'Budget by Source'!$A$6:$A$335,0),MATCH(R$3,'Budget by Source'!$A$5:$I$5,0))-(ROUND(INDEX('Budget by Source'!$A$6:$I$335,MATCH('Payment by Source'!$A99,'Budget by Source'!$A$6:$A$335,0),MATCH(R$3,'Budget by Source'!$A$5:$I$5,0))/10,0)*10)</f>
        <v>0</v>
      </c>
      <c r="S99" s="158">
        <f>INDEX('Budget by Source'!$A$6:$I$335,MATCH('Payment by Source'!$A99,'Budget by Source'!$A$6:$A$335,0),MATCH(S$3,'Budget by Source'!$A$5:$I$5,0))-(ROUND(INDEX('Budget by Source'!$A$6:$I$335,MATCH('Payment by Source'!$A99,'Budget by Source'!$A$6:$A$335,0),MATCH(S$3,'Budget by Source'!$A$5:$I$5,0))/10,0)*10)</f>
        <v>0</v>
      </c>
      <c r="T99" s="158">
        <f>INDEX('Budget by Source'!$A$6:$I$335,MATCH('Payment by Source'!$A99,'Budget by Source'!$A$6:$A$335,0),MATCH(T$3,'Budget by Source'!$A$5:$I$5,0))-(ROUND(INDEX('Budget by Source'!$A$6:$I$335,MATCH('Payment by Source'!$A99,'Budget by Source'!$A$6:$A$335,0),MATCH(T$3,'Budget by Source'!$A$5:$I$5,0))/10,0)*10)</f>
        <v>3</v>
      </c>
      <c r="U99" s="159">
        <f>INDEX('Budget by Source'!$A$6:$I$335,MATCH('Payment by Source'!$A99,'Budget by Source'!$A$6:$A$335,0),MATCH(U$3,'Budget by Source'!$A$5:$I$5,0))</f>
        <v>4858416</v>
      </c>
      <c r="V99" s="156">
        <f t="shared" si="4"/>
        <v>485842</v>
      </c>
      <c r="W99" s="156">
        <f t="shared" si="5"/>
        <v>4858420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19104</v>
      </c>
      <c r="D100" s="22">
        <f>IF(Notes!$B$2="June",ROUND('Budget by Source'!D100/10,0)+Q100,ROUND('Budget by Source'!D100/10,0))</f>
        <v>50423</v>
      </c>
      <c r="E100" s="22">
        <f>IF(Notes!$B$2="June",ROUND('Budget by Source'!E100/10,0)+R100,ROUND('Budget by Source'!E100/10,0))</f>
        <v>6217</v>
      </c>
      <c r="F100" s="22">
        <f>IF(Notes!$B$2="June",ROUND('Budget by Source'!F100/10,0)+S100,ROUND('Budget by Source'!F100/10,0))</f>
        <v>5516</v>
      </c>
      <c r="G100" s="22">
        <f>IF(Notes!$B$2="June",ROUND('Budget by Source'!G100/10,0)+T100,ROUND('Budget by Source'!G100/10,0))</f>
        <v>27675</v>
      </c>
      <c r="H100" s="22">
        <f t="shared" si="3"/>
        <v>453714</v>
      </c>
      <c r="I100" s="22">
        <f>INDEX(Data[],MATCH($A100,Data[Dist],0),MATCH(I$5,Data[#Headers],0))</f>
        <v>562649</v>
      </c>
      <c r="K100" s="70">
        <f>INDEX('Payment Total'!$A$7:$H$336,MATCH('Payment by Source'!$A100,'Payment Total'!$A$7:$A$336,0),6)-I100</f>
        <v>0</v>
      </c>
      <c r="P100" s="158">
        <f>INDEX('Budget by Source'!$A$6:$I$335,MATCH('Payment by Source'!$A100,'Budget by Source'!$A$6:$A$335,0),MATCH(P$3,'Budget by Source'!$A$5:$I$5,0))-(ROUND(INDEX('Budget by Source'!$A$6:$I$335,MATCH('Payment by Source'!$A100,'Budget by Source'!$A$6:$A$335,0),MATCH(P$3,'Budget by Source'!$A$5:$I$5,0))/10,0)*10)</f>
        <v>1</v>
      </c>
      <c r="Q100" s="158">
        <f>INDEX('Budget by Source'!$A$6:$I$335,MATCH('Payment by Source'!$A100,'Budget by Source'!$A$6:$A$335,0),MATCH(Q$3,'Budget by Source'!$A$5:$I$5,0))-(ROUND(INDEX('Budget by Source'!$A$6:$I$335,MATCH('Payment by Source'!$A100,'Budget by Source'!$A$6:$A$335,0),MATCH(Q$3,'Budget by Source'!$A$5:$I$5,0))/10,0)*10)</f>
        <v>2</v>
      </c>
      <c r="R100" s="158">
        <f>INDEX('Budget by Source'!$A$6:$I$335,MATCH('Payment by Source'!$A100,'Budget by Source'!$A$6:$A$335,0),MATCH(R$3,'Budget by Source'!$A$5:$I$5,0))-(ROUND(INDEX('Budget by Source'!$A$6:$I$335,MATCH('Payment by Source'!$A100,'Budget by Source'!$A$6:$A$335,0),MATCH(R$3,'Budget by Source'!$A$5:$I$5,0))/10,0)*10)</f>
        <v>-2</v>
      </c>
      <c r="S100" s="158">
        <f>INDEX('Budget by Source'!$A$6:$I$335,MATCH('Payment by Source'!$A100,'Budget by Source'!$A$6:$A$335,0),MATCH(S$3,'Budget by Source'!$A$5:$I$5,0))-(ROUND(INDEX('Budget by Source'!$A$6:$I$335,MATCH('Payment by Source'!$A100,'Budget by Source'!$A$6:$A$335,0),MATCH(S$3,'Budget by Source'!$A$5:$I$5,0))/10,0)*10)</f>
        <v>-4</v>
      </c>
      <c r="T100" s="158">
        <f>INDEX('Budget by Source'!$A$6:$I$335,MATCH('Payment by Source'!$A100,'Budget by Source'!$A$6:$A$335,0),MATCH(T$3,'Budget by Source'!$A$5:$I$5,0))-(ROUND(INDEX('Budget by Source'!$A$6:$I$335,MATCH('Payment by Source'!$A100,'Budget by Source'!$A$6:$A$335,0),MATCH(T$3,'Budget by Source'!$A$5:$I$5,0))/10,0)*10)</f>
        <v>1</v>
      </c>
      <c r="U100" s="159">
        <f>INDEX('Budget by Source'!$A$6:$I$335,MATCH('Payment by Source'!$A100,'Budget by Source'!$A$6:$A$335,0),MATCH(U$3,'Budget by Source'!$A$5:$I$5,0))</f>
        <v>4551252</v>
      </c>
      <c r="V100" s="156">
        <f t="shared" si="4"/>
        <v>455125</v>
      </c>
      <c r="W100" s="156">
        <f t="shared" si="5"/>
        <v>4551250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12402</v>
      </c>
      <c r="D101" s="22">
        <f>IF(Notes!$B$2="June",ROUND('Budget by Source'!D101/10,0)+Q101,ROUND('Budget by Source'!D101/10,0))</f>
        <v>35340</v>
      </c>
      <c r="E101" s="22">
        <f>IF(Notes!$B$2="June",ROUND('Budget by Source'!E101/10,0)+R101,ROUND('Budget by Source'!E101/10,0))</f>
        <v>4065</v>
      </c>
      <c r="F101" s="22">
        <f>IF(Notes!$B$2="June",ROUND('Budget by Source'!F101/10,0)+S101,ROUND('Budget by Source'!F101/10,0))</f>
        <v>3573</v>
      </c>
      <c r="G101" s="22">
        <f>IF(Notes!$B$2="June",ROUND('Budget by Source'!G101/10,0)+T101,ROUND('Budget by Source'!G101/10,0))</f>
        <v>18777</v>
      </c>
      <c r="H101" s="22">
        <f t="shared" si="3"/>
        <v>263195</v>
      </c>
      <c r="I101" s="22">
        <f>INDEX(Data[],MATCH($A101,Data[Dist],0),MATCH(I$5,Data[#Headers],0))</f>
        <v>337352</v>
      </c>
      <c r="K101" s="70">
        <f>INDEX('Payment Total'!$A$7:$H$336,MATCH('Payment by Source'!$A101,'Payment Total'!$A$7:$A$336,0),6)-I101</f>
        <v>0</v>
      </c>
      <c r="P101" s="158">
        <f>INDEX('Budget by Source'!$A$6:$I$335,MATCH('Payment by Source'!$A101,'Budget by Source'!$A$6:$A$335,0),MATCH(P$3,'Budget by Source'!$A$5:$I$5,0))-(ROUND(INDEX('Budget by Source'!$A$6:$I$335,MATCH('Payment by Source'!$A101,'Budget by Source'!$A$6:$A$335,0),MATCH(P$3,'Budget by Source'!$A$5:$I$5,0))/10,0)*10)</f>
        <v>2</v>
      </c>
      <c r="Q101" s="158">
        <f>INDEX('Budget by Source'!$A$6:$I$335,MATCH('Payment by Source'!$A101,'Budget by Source'!$A$6:$A$335,0),MATCH(Q$3,'Budget by Source'!$A$5:$I$5,0))-(ROUND(INDEX('Budget by Source'!$A$6:$I$335,MATCH('Payment by Source'!$A101,'Budget by Source'!$A$6:$A$335,0),MATCH(Q$3,'Budget by Source'!$A$5:$I$5,0))/10,0)*10)</f>
        <v>4</v>
      </c>
      <c r="R101" s="158">
        <f>INDEX('Budget by Source'!$A$6:$I$335,MATCH('Payment by Source'!$A101,'Budget by Source'!$A$6:$A$335,0),MATCH(R$3,'Budget by Source'!$A$5:$I$5,0))-(ROUND(INDEX('Budget by Source'!$A$6:$I$335,MATCH('Payment by Source'!$A101,'Budget by Source'!$A$6:$A$335,0),MATCH(R$3,'Budget by Source'!$A$5:$I$5,0))/10,0)*10)</f>
        <v>4</v>
      </c>
      <c r="S101" s="158">
        <f>INDEX('Budget by Source'!$A$6:$I$335,MATCH('Payment by Source'!$A101,'Budget by Source'!$A$6:$A$335,0),MATCH(S$3,'Budget by Source'!$A$5:$I$5,0))-(ROUND(INDEX('Budget by Source'!$A$6:$I$335,MATCH('Payment by Source'!$A101,'Budget by Source'!$A$6:$A$335,0),MATCH(S$3,'Budget by Source'!$A$5:$I$5,0))/10,0)*10)</f>
        <v>-2</v>
      </c>
      <c r="T101" s="158">
        <f>INDEX('Budget by Source'!$A$6:$I$335,MATCH('Payment by Source'!$A101,'Budget by Source'!$A$6:$A$335,0),MATCH(T$3,'Budget by Source'!$A$5:$I$5,0))-(ROUND(INDEX('Budget by Source'!$A$6:$I$335,MATCH('Payment by Source'!$A101,'Budget by Source'!$A$6:$A$335,0),MATCH(T$3,'Budget by Source'!$A$5:$I$5,0))/10,0)*10)</f>
        <v>0</v>
      </c>
      <c r="U101" s="159">
        <f>INDEX('Budget by Source'!$A$6:$I$335,MATCH('Payment by Source'!$A101,'Budget by Source'!$A$6:$A$335,0),MATCH(U$3,'Budget by Source'!$A$5:$I$5,0))</f>
        <v>2641591</v>
      </c>
      <c r="V101" s="156">
        <f t="shared" si="4"/>
        <v>264159</v>
      </c>
      <c r="W101" s="156">
        <f t="shared" si="5"/>
        <v>2641590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11393</v>
      </c>
      <c r="D102" s="22">
        <f>IF(Notes!$B$2="June",ROUND('Budget by Source'!D102/10,0)+Q102,ROUND('Budget by Source'!D102/10,0))</f>
        <v>36884</v>
      </c>
      <c r="E102" s="22">
        <f>IF(Notes!$B$2="June",ROUND('Budget by Source'!E102/10,0)+R102,ROUND('Budget by Source'!E102/10,0))</f>
        <v>3875</v>
      </c>
      <c r="F102" s="22">
        <f>IF(Notes!$B$2="June",ROUND('Budget by Source'!F102/10,0)+S102,ROUND('Budget by Source'!F102/10,0))</f>
        <v>3688</v>
      </c>
      <c r="G102" s="22">
        <f>IF(Notes!$B$2="June",ROUND('Budget by Source'!G102/10,0)+T102,ROUND('Budget by Source'!G102/10,0))</f>
        <v>18831</v>
      </c>
      <c r="H102" s="22">
        <f t="shared" si="3"/>
        <v>278368</v>
      </c>
      <c r="I102" s="22">
        <f>INDEX(Data[],MATCH($A102,Data[Dist],0),MATCH(I$5,Data[#Headers],0))</f>
        <v>353039</v>
      </c>
      <c r="K102" s="70">
        <f>INDEX('Payment Total'!$A$7:$H$336,MATCH('Payment by Source'!$A102,'Payment Total'!$A$7:$A$336,0),6)-I102</f>
        <v>0</v>
      </c>
      <c r="P102" s="158">
        <f>INDEX('Budget by Source'!$A$6:$I$335,MATCH('Payment by Source'!$A102,'Budget by Source'!$A$6:$A$335,0),MATCH(P$3,'Budget by Source'!$A$5:$I$5,0))-(ROUND(INDEX('Budget by Source'!$A$6:$I$335,MATCH('Payment by Source'!$A102,'Budget by Source'!$A$6:$A$335,0),MATCH(P$3,'Budget by Source'!$A$5:$I$5,0))/10,0)*10)</f>
        <v>-2</v>
      </c>
      <c r="Q102" s="158">
        <f>INDEX('Budget by Source'!$A$6:$I$335,MATCH('Payment by Source'!$A102,'Budget by Source'!$A$6:$A$335,0),MATCH(Q$3,'Budget by Source'!$A$5:$I$5,0))-(ROUND(INDEX('Budget by Source'!$A$6:$I$335,MATCH('Payment by Source'!$A102,'Budget by Source'!$A$6:$A$335,0),MATCH(Q$3,'Budget by Source'!$A$5:$I$5,0))/10,0)*10)</f>
        <v>-3</v>
      </c>
      <c r="R102" s="158">
        <f>INDEX('Budget by Source'!$A$6:$I$335,MATCH('Payment by Source'!$A102,'Budget by Source'!$A$6:$A$335,0),MATCH(R$3,'Budget by Source'!$A$5:$I$5,0))-(ROUND(INDEX('Budget by Source'!$A$6:$I$335,MATCH('Payment by Source'!$A102,'Budget by Source'!$A$6:$A$335,0),MATCH(R$3,'Budget by Source'!$A$5:$I$5,0))/10,0)*10)</f>
        <v>-5</v>
      </c>
      <c r="S102" s="158">
        <f>INDEX('Budget by Source'!$A$6:$I$335,MATCH('Payment by Source'!$A102,'Budget by Source'!$A$6:$A$335,0),MATCH(S$3,'Budget by Source'!$A$5:$I$5,0))-(ROUND(INDEX('Budget by Source'!$A$6:$I$335,MATCH('Payment by Source'!$A102,'Budget by Source'!$A$6:$A$335,0),MATCH(S$3,'Budget by Source'!$A$5:$I$5,0))/10,0)*10)</f>
        <v>-5</v>
      </c>
      <c r="T102" s="158">
        <f>INDEX('Budget by Source'!$A$6:$I$335,MATCH('Payment by Source'!$A102,'Budget by Source'!$A$6:$A$335,0),MATCH(T$3,'Budget by Source'!$A$5:$I$5,0))-(ROUND(INDEX('Budget by Source'!$A$6:$I$335,MATCH('Payment by Source'!$A102,'Budget by Source'!$A$6:$A$335,0),MATCH(T$3,'Budget by Source'!$A$5:$I$5,0))/10,0)*10)</f>
        <v>-3</v>
      </c>
      <c r="U102" s="159">
        <f>INDEX('Budget by Source'!$A$6:$I$335,MATCH('Payment by Source'!$A102,'Budget by Source'!$A$6:$A$335,0),MATCH(U$3,'Budget by Source'!$A$5:$I$5,0))</f>
        <v>2792992</v>
      </c>
      <c r="V102" s="156">
        <f t="shared" si="4"/>
        <v>279299</v>
      </c>
      <c r="W102" s="156">
        <f t="shared" si="5"/>
        <v>2792990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6365</v>
      </c>
      <c r="D103" s="22">
        <f>IF(Notes!$B$2="June",ROUND('Budget by Source'!D103/10,0)+Q103,ROUND('Budget by Source'!D103/10,0))</f>
        <v>36049</v>
      </c>
      <c r="E103" s="22">
        <f>IF(Notes!$B$2="June",ROUND('Budget by Source'!E103/10,0)+R103,ROUND('Budget by Source'!E103/10,0))</f>
        <v>3661</v>
      </c>
      <c r="F103" s="22">
        <f>IF(Notes!$B$2="June",ROUND('Budget by Source'!F103/10,0)+S103,ROUND('Budget by Source'!F103/10,0))</f>
        <v>3951</v>
      </c>
      <c r="G103" s="22">
        <f>IF(Notes!$B$2="June",ROUND('Budget by Source'!G103/10,0)+T103,ROUND('Budget by Source'!G103/10,0))</f>
        <v>19900</v>
      </c>
      <c r="H103" s="22">
        <f t="shared" si="3"/>
        <v>287303</v>
      </c>
      <c r="I103" s="22">
        <f>INDEX(Data[],MATCH($A103,Data[Dist],0),MATCH(I$5,Data[#Headers],0))</f>
        <v>357229</v>
      </c>
      <c r="K103" s="70">
        <f>INDEX('Payment Total'!$A$7:$H$336,MATCH('Payment by Source'!$A103,'Payment Total'!$A$7:$A$336,0),6)-I103</f>
        <v>0</v>
      </c>
      <c r="P103" s="158">
        <f>INDEX('Budget by Source'!$A$6:$I$335,MATCH('Payment by Source'!$A103,'Budget by Source'!$A$6:$A$335,0),MATCH(P$3,'Budget by Source'!$A$5:$I$5,0))-(ROUND(INDEX('Budget by Source'!$A$6:$I$335,MATCH('Payment by Source'!$A103,'Budget by Source'!$A$6:$A$335,0),MATCH(P$3,'Budget by Source'!$A$5:$I$5,0))/10,0)*10)</f>
        <v>-3</v>
      </c>
      <c r="Q103" s="158">
        <f>INDEX('Budget by Source'!$A$6:$I$335,MATCH('Payment by Source'!$A103,'Budget by Source'!$A$6:$A$335,0),MATCH(Q$3,'Budget by Source'!$A$5:$I$5,0))-(ROUND(INDEX('Budget by Source'!$A$6:$I$335,MATCH('Payment by Source'!$A103,'Budget by Source'!$A$6:$A$335,0),MATCH(Q$3,'Budget by Source'!$A$5:$I$5,0))/10,0)*10)</f>
        <v>-3</v>
      </c>
      <c r="R103" s="158">
        <f>INDEX('Budget by Source'!$A$6:$I$335,MATCH('Payment by Source'!$A103,'Budget by Source'!$A$6:$A$335,0),MATCH(R$3,'Budget by Source'!$A$5:$I$5,0))-(ROUND(INDEX('Budget by Source'!$A$6:$I$335,MATCH('Payment by Source'!$A103,'Budget by Source'!$A$6:$A$335,0),MATCH(R$3,'Budget by Source'!$A$5:$I$5,0))/10,0)*10)</f>
        <v>0</v>
      </c>
      <c r="S103" s="158">
        <f>INDEX('Budget by Source'!$A$6:$I$335,MATCH('Payment by Source'!$A103,'Budget by Source'!$A$6:$A$335,0),MATCH(S$3,'Budget by Source'!$A$5:$I$5,0))-(ROUND(INDEX('Budget by Source'!$A$6:$I$335,MATCH('Payment by Source'!$A103,'Budget by Source'!$A$6:$A$335,0),MATCH(S$3,'Budget by Source'!$A$5:$I$5,0))/10,0)*10)</f>
        <v>-4</v>
      </c>
      <c r="T103" s="158">
        <f>INDEX('Budget by Source'!$A$6:$I$335,MATCH('Payment by Source'!$A103,'Budget by Source'!$A$6:$A$335,0),MATCH(T$3,'Budget by Source'!$A$5:$I$5,0))-(ROUND(INDEX('Budget by Source'!$A$6:$I$335,MATCH('Payment by Source'!$A103,'Budget by Source'!$A$6:$A$335,0),MATCH(T$3,'Budget by Source'!$A$5:$I$5,0))/10,0)*10)</f>
        <v>3</v>
      </c>
      <c r="U103" s="159">
        <f>INDEX('Budget by Source'!$A$6:$I$335,MATCH('Payment by Source'!$A103,'Budget by Source'!$A$6:$A$335,0),MATCH(U$3,'Budget by Source'!$A$5:$I$5,0))</f>
        <v>2883029</v>
      </c>
      <c r="V103" s="156">
        <f t="shared" si="4"/>
        <v>288303</v>
      </c>
      <c r="W103" s="156">
        <f t="shared" si="5"/>
        <v>2883030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10720</v>
      </c>
      <c r="D104" s="22">
        <f>IF(Notes!$B$2="June",ROUND('Budget by Source'!D104/10,0)+Q104,ROUND('Budget by Source'!D104/10,0))</f>
        <v>29562</v>
      </c>
      <c r="E104" s="22">
        <f>IF(Notes!$B$2="June",ROUND('Budget by Source'!E104/10,0)+R104,ROUND('Budget by Source'!E104/10,0))</f>
        <v>3566</v>
      </c>
      <c r="F104" s="22">
        <f>IF(Notes!$B$2="June",ROUND('Budget by Source'!F104/10,0)+S104,ROUND('Budget by Source'!F104/10,0))</f>
        <v>2862</v>
      </c>
      <c r="G104" s="22">
        <f>IF(Notes!$B$2="June",ROUND('Budget by Source'!G104/10,0)+T104,ROUND('Budget by Source'!G104/10,0))</f>
        <v>16048</v>
      </c>
      <c r="H104" s="22">
        <f t="shared" si="3"/>
        <v>247884</v>
      </c>
      <c r="I104" s="22">
        <f>INDEX(Data[],MATCH($A104,Data[Dist],0),MATCH(I$5,Data[#Headers],0))</f>
        <v>310642</v>
      </c>
      <c r="K104" s="70">
        <f>INDEX('Payment Total'!$A$7:$H$336,MATCH('Payment by Source'!$A104,'Payment Total'!$A$7:$A$336,0),6)-I104</f>
        <v>0</v>
      </c>
      <c r="P104" s="158">
        <f>INDEX('Budget by Source'!$A$6:$I$335,MATCH('Payment by Source'!$A104,'Budget by Source'!$A$6:$A$335,0),MATCH(P$3,'Budget by Source'!$A$5:$I$5,0))-(ROUND(INDEX('Budget by Source'!$A$6:$I$335,MATCH('Payment by Source'!$A104,'Budget by Source'!$A$6:$A$335,0),MATCH(P$3,'Budget by Source'!$A$5:$I$5,0))/10,0)*10)</f>
        <v>-5</v>
      </c>
      <c r="Q104" s="158">
        <f>INDEX('Budget by Source'!$A$6:$I$335,MATCH('Payment by Source'!$A104,'Budget by Source'!$A$6:$A$335,0),MATCH(Q$3,'Budget by Source'!$A$5:$I$5,0))-(ROUND(INDEX('Budget by Source'!$A$6:$I$335,MATCH('Payment by Source'!$A104,'Budget by Source'!$A$6:$A$335,0),MATCH(Q$3,'Budget by Source'!$A$5:$I$5,0))/10,0)*10)</f>
        <v>-2</v>
      </c>
      <c r="R104" s="158">
        <f>INDEX('Budget by Source'!$A$6:$I$335,MATCH('Payment by Source'!$A104,'Budget by Source'!$A$6:$A$335,0),MATCH(R$3,'Budget by Source'!$A$5:$I$5,0))-(ROUND(INDEX('Budget by Source'!$A$6:$I$335,MATCH('Payment by Source'!$A104,'Budget by Source'!$A$6:$A$335,0),MATCH(R$3,'Budget by Source'!$A$5:$I$5,0))/10,0)*10)</f>
        <v>-5</v>
      </c>
      <c r="S104" s="158">
        <f>INDEX('Budget by Source'!$A$6:$I$335,MATCH('Payment by Source'!$A104,'Budget by Source'!$A$6:$A$335,0),MATCH(S$3,'Budget by Source'!$A$5:$I$5,0))-(ROUND(INDEX('Budget by Source'!$A$6:$I$335,MATCH('Payment by Source'!$A104,'Budget by Source'!$A$6:$A$335,0),MATCH(S$3,'Budget by Source'!$A$5:$I$5,0))/10,0)*10)</f>
        <v>-5</v>
      </c>
      <c r="T104" s="158">
        <f>INDEX('Budget by Source'!$A$6:$I$335,MATCH('Payment by Source'!$A104,'Budget by Source'!$A$6:$A$335,0),MATCH(T$3,'Budget by Source'!$A$5:$I$5,0))-(ROUND(INDEX('Budget by Source'!$A$6:$I$335,MATCH('Payment by Source'!$A104,'Budget by Source'!$A$6:$A$335,0),MATCH(T$3,'Budget by Source'!$A$5:$I$5,0))/10,0)*10)</f>
        <v>-3</v>
      </c>
      <c r="U104" s="159">
        <f>INDEX('Budget by Source'!$A$6:$I$335,MATCH('Payment by Source'!$A104,'Budget by Source'!$A$6:$A$335,0),MATCH(U$3,'Budget by Source'!$A$5:$I$5,0))</f>
        <v>2486857</v>
      </c>
      <c r="V104" s="156">
        <f t="shared" si="4"/>
        <v>248686</v>
      </c>
      <c r="W104" s="156">
        <f t="shared" si="5"/>
        <v>2486860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7374</v>
      </c>
      <c r="D105" s="22">
        <f>IF(Notes!$B$2="June",ROUND('Budget by Source'!D105/10,0)+Q105,ROUND('Budget by Source'!D105/10,0))</f>
        <v>22285</v>
      </c>
      <c r="E105" s="22">
        <f>IF(Notes!$B$2="June",ROUND('Budget by Source'!E105/10,0)+R105,ROUND('Budget by Source'!E105/10,0))</f>
        <v>2574</v>
      </c>
      <c r="F105" s="22">
        <f>IF(Notes!$B$2="June",ROUND('Budget by Source'!F105/10,0)+S105,ROUND('Budget by Source'!F105/10,0))</f>
        <v>2116</v>
      </c>
      <c r="G105" s="22">
        <f>IF(Notes!$B$2="June",ROUND('Budget by Source'!G105/10,0)+T105,ROUND('Budget by Source'!G105/10,0))</f>
        <v>11114</v>
      </c>
      <c r="H105" s="22">
        <f t="shared" si="3"/>
        <v>99794</v>
      </c>
      <c r="I105" s="22">
        <f>INDEX(Data[],MATCH($A105,Data[Dist],0),MATCH(I$5,Data[#Headers],0))</f>
        <v>145257</v>
      </c>
      <c r="K105" s="70">
        <f>INDEX('Payment Total'!$A$7:$H$336,MATCH('Payment by Source'!$A105,'Payment Total'!$A$7:$A$336,0),6)-I105</f>
        <v>0</v>
      </c>
      <c r="P105" s="158">
        <f>INDEX('Budget by Source'!$A$6:$I$335,MATCH('Payment by Source'!$A105,'Budget by Source'!$A$6:$A$335,0),MATCH(P$3,'Budget by Source'!$A$5:$I$5,0))-(ROUND(INDEX('Budget by Source'!$A$6:$I$335,MATCH('Payment by Source'!$A105,'Budget by Source'!$A$6:$A$335,0),MATCH(P$3,'Budget by Source'!$A$5:$I$5,0))/10,0)*10)</f>
        <v>1</v>
      </c>
      <c r="Q105" s="158">
        <f>INDEX('Budget by Source'!$A$6:$I$335,MATCH('Payment by Source'!$A105,'Budget by Source'!$A$6:$A$335,0),MATCH(Q$3,'Budget by Source'!$A$5:$I$5,0))-(ROUND(INDEX('Budget by Source'!$A$6:$I$335,MATCH('Payment by Source'!$A105,'Budget by Source'!$A$6:$A$335,0),MATCH(Q$3,'Budget by Source'!$A$5:$I$5,0))/10,0)*10)</f>
        <v>-2</v>
      </c>
      <c r="R105" s="158">
        <f>INDEX('Budget by Source'!$A$6:$I$335,MATCH('Payment by Source'!$A105,'Budget by Source'!$A$6:$A$335,0),MATCH(R$3,'Budget by Source'!$A$5:$I$5,0))-(ROUND(INDEX('Budget by Source'!$A$6:$I$335,MATCH('Payment by Source'!$A105,'Budget by Source'!$A$6:$A$335,0),MATCH(R$3,'Budget by Source'!$A$5:$I$5,0))/10,0)*10)</f>
        <v>0</v>
      </c>
      <c r="S105" s="158">
        <f>INDEX('Budget by Source'!$A$6:$I$335,MATCH('Payment by Source'!$A105,'Budget by Source'!$A$6:$A$335,0),MATCH(S$3,'Budget by Source'!$A$5:$I$5,0))-(ROUND(INDEX('Budget by Source'!$A$6:$I$335,MATCH('Payment by Source'!$A105,'Budget by Source'!$A$6:$A$335,0),MATCH(S$3,'Budget by Source'!$A$5:$I$5,0))/10,0)*10)</f>
        <v>1</v>
      </c>
      <c r="T105" s="158">
        <f>INDEX('Budget by Source'!$A$6:$I$335,MATCH('Payment by Source'!$A105,'Budget by Source'!$A$6:$A$335,0),MATCH(T$3,'Budget by Source'!$A$5:$I$5,0))-(ROUND(INDEX('Budget by Source'!$A$6:$I$335,MATCH('Payment by Source'!$A105,'Budget by Source'!$A$6:$A$335,0),MATCH(T$3,'Budget by Source'!$A$5:$I$5,0))/10,0)*10)</f>
        <v>0</v>
      </c>
      <c r="U105" s="159">
        <f>INDEX('Budget by Source'!$A$6:$I$335,MATCH('Payment by Source'!$A105,'Budget by Source'!$A$6:$A$335,0),MATCH(U$3,'Budget by Source'!$A$5:$I$5,0))</f>
        <v>1003356</v>
      </c>
      <c r="V105" s="156">
        <f t="shared" si="4"/>
        <v>100336</v>
      </c>
      <c r="W105" s="156">
        <f t="shared" si="5"/>
        <v>1003360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7711</v>
      </c>
      <c r="D106" s="22">
        <f>IF(Notes!$B$2="June",ROUND('Budget by Source'!D106/10,0)+Q106,ROUND('Budget by Source'!D106/10,0))</f>
        <v>26974</v>
      </c>
      <c r="E106" s="22">
        <f>IF(Notes!$B$2="June",ROUND('Budget by Source'!E106/10,0)+R106,ROUND('Budget by Source'!E106/10,0))</f>
        <v>3315</v>
      </c>
      <c r="F106" s="22">
        <f>IF(Notes!$B$2="June",ROUND('Budget by Source'!F106/10,0)+S106,ROUND('Budget by Source'!F106/10,0))</f>
        <v>2940</v>
      </c>
      <c r="G106" s="22">
        <f>IF(Notes!$B$2="June",ROUND('Budget by Source'!G106/10,0)+T106,ROUND('Budget by Source'!G106/10,0))</f>
        <v>13939</v>
      </c>
      <c r="H106" s="22">
        <f t="shared" si="3"/>
        <v>161701</v>
      </c>
      <c r="I106" s="22">
        <f>INDEX(Data[],MATCH($A106,Data[Dist],0),MATCH(I$5,Data[#Headers],0))</f>
        <v>216580</v>
      </c>
      <c r="K106" s="70">
        <f>INDEX('Payment Total'!$A$7:$H$336,MATCH('Payment by Source'!$A106,'Payment Total'!$A$7:$A$336,0),6)-I106</f>
        <v>0</v>
      </c>
      <c r="P106" s="158">
        <f>INDEX('Budget by Source'!$A$6:$I$335,MATCH('Payment by Source'!$A106,'Budget by Source'!$A$6:$A$335,0),MATCH(P$3,'Budget by Source'!$A$5:$I$5,0))-(ROUND(INDEX('Budget by Source'!$A$6:$I$335,MATCH('Payment by Source'!$A106,'Budget by Source'!$A$6:$A$335,0),MATCH(P$3,'Budget by Source'!$A$5:$I$5,0))/10,0)*10)</f>
        <v>3</v>
      </c>
      <c r="Q106" s="158">
        <f>INDEX('Budget by Source'!$A$6:$I$335,MATCH('Payment by Source'!$A106,'Budget by Source'!$A$6:$A$335,0),MATCH(Q$3,'Budget by Source'!$A$5:$I$5,0))-(ROUND(INDEX('Budget by Source'!$A$6:$I$335,MATCH('Payment by Source'!$A106,'Budget by Source'!$A$6:$A$335,0),MATCH(Q$3,'Budget by Source'!$A$5:$I$5,0))/10,0)*10)</f>
        <v>3</v>
      </c>
      <c r="R106" s="158">
        <f>INDEX('Budget by Source'!$A$6:$I$335,MATCH('Payment by Source'!$A106,'Budget by Source'!$A$6:$A$335,0),MATCH(R$3,'Budget by Source'!$A$5:$I$5,0))-(ROUND(INDEX('Budget by Source'!$A$6:$I$335,MATCH('Payment by Source'!$A106,'Budget by Source'!$A$6:$A$335,0),MATCH(R$3,'Budget by Source'!$A$5:$I$5,0))/10,0)*10)</f>
        <v>2</v>
      </c>
      <c r="S106" s="158">
        <f>INDEX('Budget by Source'!$A$6:$I$335,MATCH('Payment by Source'!$A106,'Budget by Source'!$A$6:$A$335,0),MATCH(S$3,'Budget by Source'!$A$5:$I$5,0))-(ROUND(INDEX('Budget by Source'!$A$6:$I$335,MATCH('Payment by Source'!$A106,'Budget by Source'!$A$6:$A$335,0),MATCH(S$3,'Budget by Source'!$A$5:$I$5,0))/10,0)*10)</f>
        <v>-4</v>
      </c>
      <c r="T106" s="158">
        <f>INDEX('Budget by Source'!$A$6:$I$335,MATCH('Payment by Source'!$A106,'Budget by Source'!$A$6:$A$335,0),MATCH(T$3,'Budget by Source'!$A$5:$I$5,0))-(ROUND(INDEX('Budget by Source'!$A$6:$I$335,MATCH('Payment by Source'!$A106,'Budget by Source'!$A$6:$A$335,0),MATCH(T$3,'Budget by Source'!$A$5:$I$5,0))/10,0)*10)</f>
        <v>-4</v>
      </c>
      <c r="U106" s="159">
        <f>INDEX('Budget by Source'!$A$6:$I$335,MATCH('Payment by Source'!$A106,'Budget by Source'!$A$6:$A$335,0),MATCH(U$3,'Budget by Source'!$A$5:$I$5,0))</f>
        <v>1624058</v>
      </c>
      <c r="V106" s="156">
        <f t="shared" si="4"/>
        <v>162406</v>
      </c>
      <c r="W106" s="156">
        <f t="shared" si="5"/>
        <v>1624060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10720</v>
      </c>
      <c r="D107" s="22">
        <f>IF(Notes!$B$2="June",ROUND('Budget by Source'!D107/10,0)+Q107,ROUND('Budget by Source'!D107/10,0))</f>
        <v>26340</v>
      </c>
      <c r="E107" s="22">
        <f>IF(Notes!$B$2="June",ROUND('Budget by Source'!E107/10,0)+R107,ROUND('Budget by Source'!E107/10,0))</f>
        <v>3155</v>
      </c>
      <c r="F107" s="22">
        <f>IF(Notes!$B$2="June",ROUND('Budget by Source'!F107/10,0)+S107,ROUND('Budget by Source'!F107/10,0))</f>
        <v>2938</v>
      </c>
      <c r="G107" s="22">
        <f>IF(Notes!$B$2="June",ROUND('Budget by Source'!G107/10,0)+T107,ROUND('Budget by Source'!G107/10,0))</f>
        <v>13518</v>
      </c>
      <c r="H107" s="22">
        <f t="shared" si="3"/>
        <v>179745</v>
      </c>
      <c r="I107" s="22">
        <f>INDEX(Data[],MATCH($A107,Data[Dist],0),MATCH(I$5,Data[#Headers],0))</f>
        <v>236416</v>
      </c>
      <c r="K107" s="70">
        <f>INDEX('Payment Total'!$A$7:$H$336,MATCH('Payment by Source'!$A107,'Payment Total'!$A$7:$A$336,0),6)-I107</f>
        <v>0</v>
      </c>
      <c r="P107" s="158">
        <f>INDEX('Budget by Source'!$A$6:$I$335,MATCH('Payment by Source'!$A107,'Budget by Source'!$A$6:$A$335,0),MATCH(P$3,'Budget by Source'!$A$5:$I$5,0))-(ROUND(INDEX('Budget by Source'!$A$6:$I$335,MATCH('Payment by Source'!$A107,'Budget by Source'!$A$6:$A$335,0),MATCH(P$3,'Budget by Source'!$A$5:$I$5,0))/10,0)*10)</f>
        <v>-5</v>
      </c>
      <c r="Q107" s="158">
        <f>INDEX('Budget by Source'!$A$6:$I$335,MATCH('Payment by Source'!$A107,'Budget by Source'!$A$6:$A$335,0),MATCH(Q$3,'Budget by Source'!$A$5:$I$5,0))-(ROUND(INDEX('Budget by Source'!$A$6:$I$335,MATCH('Payment by Source'!$A107,'Budget by Source'!$A$6:$A$335,0),MATCH(Q$3,'Budget by Source'!$A$5:$I$5,0))/10,0)*10)</f>
        <v>-4</v>
      </c>
      <c r="R107" s="158">
        <f>INDEX('Budget by Source'!$A$6:$I$335,MATCH('Payment by Source'!$A107,'Budget by Source'!$A$6:$A$335,0),MATCH(R$3,'Budget by Source'!$A$5:$I$5,0))-(ROUND(INDEX('Budget by Source'!$A$6:$I$335,MATCH('Payment by Source'!$A107,'Budget by Source'!$A$6:$A$335,0),MATCH(R$3,'Budget by Source'!$A$5:$I$5,0))/10,0)*10)</f>
        <v>-1</v>
      </c>
      <c r="S107" s="158">
        <f>INDEX('Budget by Source'!$A$6:$I$335,MATCH('Payment by Source'!$A107,'Budget by Source'!$A$6:$A$335,0),MATCH(S$3,'Budget by Source'!$A$5:$I$5,0))-(ROUND(INDEX('Budget by Source'!$A$6:$I$335,MATCH('Payment by Source'!$A107,'Budget by Source'!$A$6:$A$335,0),MATCH(S$3,'Budget by Source'!$A$5:$I$5,0))/10,0)*10)</f>
        <v>-2</v>
      </c>
      <c r="T107" s="158">
        <f>INDEX('Budget by Source'!$A$6:$I$335,MATCH('Payment by Source'!$A107,'Budget by Source'!$A$6:$A$335,0),MATCH(T$3,'Budget by Source'!$A$5:$I$5,0))-(ROUND(INDEX('Budget by Source'!$A$6:$I$335,MATCH('Payment by Source'!$A107,'Budget by Source'!$A$6:$A$335,0),MATCH(T$3,'Budget by Source'!$A$5:$I$5,0))/10,0)*10)</f>
        <v>1</v>
      </c>
      <c r="U107" s="159">
        <f>INDEX('Budget by Source'!$A$6:$I$335,MATCH('Payment by Source'!$A107,'Budget by Source'!$A$6:$A$335,0),MATCH(U$3,'Budget by Source'!$A$5:$I$5,0))</f>
        <v>1804234</v>
      </c>
      <c r="V107" s="156">
        <f t="shared" si="4"/>
        <v>180423</v>
      </c>
      <c r="W107" s="156">
        <f t="shared" si="5"/>
        <v>1804230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12402</v>
      </c>
      <c r="D108" s="22">
        <f>IF(Notes!$B$2="June",ROUND('Budget by Source'!D108/10,0)+Q108,ROUND('Budget by Source'!D108/10,0))</f>
        <v>38242</v>
      </c>
      <c r="E108" s="22">
        <f>IF(Notes!$B$2="June",ROUND('Budget by Source'!E108/10,0)+R108,ROUND('Budget by Source'!E108/10,0))</f>
        <v>4420</v>
      </c>
      <c r="F108" s="22">
        <f>IF(Notes!$B$2="June",ROUND('Budget by Source'!F108/10,0)+S108,ROUND('Budget by Source'!F108/10,0))</f>
        <v>4453</v>
      </c>
      <c r="G108" s="22">
        <f>IF(Notes!$B$2="June",ROUND('Budget by Source'!G108/10,0)+T108,ROUND('Budget by Source'!G108/10,0))</f>
        <v>20498</v>
      </c>
      <c r="H108" s="22">
        <f t="shared" si="3"/>
        <v>338657</v>
      </c>
      <c r="I108" s="22">
        <f>INDEX(Data[],MATCH($A108,Data[Dist],0),MATCH(I$5,Data[#Headers],0))</f>
        <v>418672</v>
      </c>
      <c r="K108" s="70">
        <f>INDEX('Payment Total'!$A$7:$H$336,MATCH('Payment by Source'!$A108,'Payment Total'!$A$7:$A$336,0),6)-I108</f>
        <v>0</v>
      </c>
      <c r="P108" s="158">
        <f>INDEX('Budget by Source'!$A$6:$I$335,MATCH('Payment by Source'!$A108,'Budget by Source'!$A$6:$A$335,0),MATCH(P$3,'Budget by Source'!$A$5:$I$5,0))-(ROUND(INDEX('Budget by Source'!$A$6:$I$335,MATCH('Payment by Source'!$A108,'Budget by Source'!$A$6:$A$335,0),MATCH(P$3,'Budget by Source'!$A$5:$I$5,0))/10,0)*10)</f>
        <v>2</v>
      </c>
      <c r="Q108" s="158">
        <f>INDEX('Budget by Source'!$A$6:$I$335,MATCH('Payment by Source'!$A108,'Budget by Source'!$A$6:$A$335,0),MATCH(Q$3,'Budget by Source'!$A$5:$I$5,0))-(ROUND(INDEX('Budget by Source'!$A$6:$I$335,MATCH('Payment by Source'!$A108,'Budget by Source'!$A$6:$A$335,0),MATCH(Q$3,'Budget by Source'!$A$5:$I$5,0))/10,0)*10)</f>
        <v>-1</v>
      </c>
      <c r="R108" s="158">
        <f>INDEX('Budget by Source'!$A$6:$I$335,MATCH('Payment by Source'!$A108,'Budget by Source'!$A$6:$A$335,0),MATCH(R$3,'Budget by Source'!$A$5:$I$5,0))-(ROUND(INDEX('Budget by Source'!$A$6:$I$335,MATCH('Payment by Source'!$A108,'Budget by Source'!$A$6:$A$335,0),MATCH(R$3,'Budget by Source'!$A$5:$I$5,0))/10,0)*10)</f>
        <v>-1</v>
      </c>
      <c r="S108" s="158">
        <f>INDEX('Budget by Source'!$A$6:$I$335,MATCH('Payment by Source'!$A108,'Budget by Source'!$A$6:$A$335,0),MATCH(S$3,'Budget by Source'!$A$5:$I$5,0))-(ROUND(INDEX('Budget by Source'!$A$6:$I$335,MATCH('Payment by Source'!$A108,'Budget by Source'!$A$6:$A$335,0),MATCH(S$3,'Budget by Source'!$A$5:$I$5,0))/10,0)*10)</f>
        <v>-1</v>
      </c>
      <c r="T108" s="158">
        <f>INDEX('Budget by Source'!$A$6:$I$335,MATCH('Payment by Source'!$A108,'Budget by Source'!$A$6:$A$335,0),MATCH(T$3,'Budget by Source'!$A$5:$I$5,0))-(ROUND(INDEX('Budget by Source'!$A$6:$I$335,MATCH('Payment by Source'!$A108,'Budget by Source'!$A$6:$A$335,0),MATCH(T$3,'Budget by Source'!$A$5:$I$5,0))/10,0)*10)</f>
        <v>3</v>
      </c>
      <c r="U108" s="159">
        <f>INDEX('Budget by Source'!$A$6:$I$335,MATCH('Payment by Source'!$A108,'Budget by Source'!$A$6:$A$335,0),MATCH(U$3,'Budget by Source'!$A$5:$I$5,0))</f>
        <v>3396979</v>
      </c>
      <c r="V108" s="156">
        <f t="shared" si="4"/>
        <v>339698</v>
      </c>
      <c r="W108" s="156">
        <f t="shared" si="5"/>
        <v>3396980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17431</v>
      </c>
      <c r="D109" s="22">
        <f>IF(Notes!$B$2="June",ROUND('Budget by Source'!D109/10,0)+Q109,ROUND('Budget by Source'!D109/10,0))</f>
        <v>40599</v>
      </c>
      <c r="E109" s="22">
        <f>IF(Notes!$B$2="June",ROUND('Budget by Source'!E109/10,0)+R109,ROUND('Budget by Source'!E109/10,0))</f>
        <v>4863</v>
      </c>
      <c r="F109" s="22">
        <f>IF(Notes!$B$2="June",ROUND('Budget by Source'!F109/10,0)+S109,ROUND('Budget by Source'!F109/10,0))</f>
        <v>4746</v>
      </c>
      <c r="G109" s="22">
        <f>IF(Notes!$B$2="June",ROUND('Budget by Source'!G109/10,0)+T109,ROUND('Budget by Source'!G109/10,0))</f>
        <v>22828</v>
      </c>
      <c r="H109" s="22">
        <f t="shared" si="3"/>
        <v>266426</v>
      </c>
      <c r="I109" s="22">
        <f>INDEX(Data[],MATCH($A109,Data[Dist],0),MATCH(I$5,Data[#Headers],0))</f>
        <v>356893</v>
      </c>
      <c r="K109" s="70">
        <f>INDEX('Payment Total'!$A$7:$H$336,MATCH('Payment by Source'!$A109,'Payment Total'!$A$7:$A$336,0),6)-I109</f>
        <v>0</v>
      </c>
      <c r="P109" s="158">
        <f>INDEX('Budget by Source'!$A$6:$I$335,MATCH('Payment by Source'!$A109,'Budget by Source'!$A$6:$A$335,0),MATCH(P$3,'Budget by Source'!$A$5:$I$5,0))-(ROUND(INDEX('Budget by Source'!$A$6:$I$335,MATCH('Payment by Source'!$A109,'Budget by Source'!$A$6:$A$335,0),MATCH(P$3,'Budget by Source'!$A$5:$I$5,0))/10,0)*10)</f>
        <v>4</v>
      </c>
      <c r="Q109" s="158">
        <f>INDEX('Budget by Source'!$A$6:$I$335,MATCH('Payment by Source'!$A109,'Budget by Source'!$A$6:$A$335,0),MATCH(Q$3,'Budget by Source'!$A$5:$I$5,0))-(ROUND(INDEX('Budget by Source'!$A$6:$I$335,MATCH('Payment by Source'!$A109,'Budget by Source'!$A$6:$A$335,0),MATCH(Q$3,'Budget by Source'!$A$5:$I$5,0))/10,0)*10)</f>
        <v>0</v>
      </c>
      <c r="R109" s="158">
        <f>INDEX('Budget by Source'!$A$6:$I$335,MATCH('Payment by Source'!$A109,'Budget by Source'!$A$6:$A$335,0),MATCH(R$3,'Budget by Source'!$A$5:$I$5,0))-(ROUND(INDEX('Budget by Source'!$A$6:$I$335,MATCH('Payment by Source'!$A109,'Budget by Source'!$A$6:$A$335,0),MATCH(R$3,'Budget by Source'!$A$5:$I$5,0))/10,0)*10)</f>
        <v>-3</v>
      </c>
      <c r="S109" s="158">
        <f>INDEX('Budget by Source'!$A$6:$I$335,MATCH('Payment by Source'!$A109,'Budget by Source'!$A$6:$A$335,0),MATCH(S$3,'Budget by Source'!$A$5:$I$5,0))-(ROUND(INDEX('Budget by Source'!$A$6:$I$335,MATCH('Payment by Source'!$A109,'Budget by Source'!$A$6:$A$335,0),MATCH(S$3,'Budget by Source'!$A$5:$I$5,0))/10,0)*10)</f>
        <v>-1</v>
      </c>
      <c r="T109" s="158">
        <f>INDEX('Budget by Source'!$A$6:$I$335,MATCH('Payment by Source'!$A109,'Budget by Source'!$A$6:$A$335,0),MATCH(T$3,'Budget by Source'!$A$5:$I$5,0))-(ROUND(INDEX('Budget by Source'!$A$6:$I$335,MATCH('Payment by Source'!$A109,'Budget by Source'!$A$6:$A$335,0),MATCH(T$3,'Budget by Source'!$A$5:$I$5,0))/10,0)*10)</f>
        <v>-1</v>
      </c>
      <c r="U109" s="159">
        <f>INDEX('Budget by Source'!$A$6:$I$335,MATCH('Payment by Source'!$A109,'Budget by Source'!$A$6:$A$335,0),MATCH(U$3,'Budget by Source'!$A$5:$I$5,0))</f>
        <v>2675900</v>
      </c>
      <c r="V109" s="156">
        <f t="shared" si="4"/>
        <v>267590</v>
      </c>
      <c r="W109" s="156">
        <f t="shared" si="5"/>
        <v>2675900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10393</v>
      </c>
      <c r="D110" s="22">
        <f>IF(Notes!$B$2="June",ROUND('Budget by Source'!D110/10,0)+Q110,ROUND('Budget by Source'!D110/10,0))</f>
        <v>30874</v>
      </c>
      <c r="E110" s="22">
        <f>IF(Notes!$B$2="June",ROUND('Budget by Source'!E110/10,0)+R110,ROUND('Budget by Source'!E110/10,0))</f>
        <v>3341</v>
      </c>
      <c r="F110" s="22">
        <f>IF(Notes!$B$2="June",ROUND('Budget by Source'!F110/10,0)+S110,ROUND('Budget by Source'!F110/10,0))</f>
        <v>3255</v>
      </c>
      <c r="G110" s="22">
        <f>IF(Notes!$B$2="June",ROUND('Budget by Source'!G110/10,0)+T110,ROUND('Budget by Source'!G110/10,0))</f>
        <v>14802</v>
      </c>
      <c r="H110" s="22">
        <f t="shared" si="3"/>
        <v>196095</v>
      </c>
      <c r="I110" s="22">
        <f>INDEX(Data[],MATCH($A110,Data[Dist],0),MATCH(I$5,Data[#Headers],0))</f>
        <v>258760</v>
      </c>
      <c r="K110" s="70">
        <f>INDEX('Payment Total'!$A$7:$H$336,MATCH('Payment by Source'!$A110,'Payment Total'!$A$7:$A$336,0),6)-I110</f>
        <v>0</v>
      </c>
      <c r="P110" s="158">
        <f>INDEX('Budget by Source'!$A$6:$I$335,MATCH('Payment by Source'!$A110,'Budget by Source'!$A$6:$A$335,0),MATCH(P$3,'Budget by Source'!$A$5:$I$5,0))-(ROUND(INDEX('Budget by Source'!$A$6:$I$335,MATCH('Payment by Source'!$A110,'Budget by Source'!$A$6:$A$335,0),MATCH(P$3,'Budget by Source'!$A$5:$I$5,0))/10,0)*10)</f>
        <v>4</v>
      </c>
      <c r="Q110" s="158">
        <f>INDEX('Budget by Source'!$A$6:$I$335,MATCH('Payment by Source'!$A110,'Budget by Source'!$A$6:$A$335,0),MATCH(Q$3,'Budget by Source'!$A$5:$I$5,0))-(ROUND(INDEX('Budget by Source'!$A$6:$I$335,MATCH('Payment by Source'!$A110,'Budget by Source'!$A$6:$A$335,0),MATCH(Q$3,'Budget by Source'!$A$5:$I$5,0))/10,0)*10)</f>
        <v>1</v>
      </c>
      <c r="R110" s="158">
        <f>INDEX('Budget by Source'!$A$6:$I$335,MATCH('Payment by Source'!$A110,'Budget by Source'!$A$6:$A$335,0),MATCH(R$3,'Budget by Source'!$A$5:$I$5,0))-(ROUND(INDEX('Budget by Source'!$A$6:$I$335,MATCH('Payment by Source'!$A110,'Budget by Source'!$A$6:$A$335,0),MATCH(R$3,'Budget by Source'!$A$5:$I$5,0))/10,0)*10)</f>
        <v>4</v>
      </c>
      <c r="S110" s="158">
        <f>INDEX('Budget by Source'!$A$6:$I$335,MATCH('Payment by Source'!$A110,'Budget by Source'!$A$6:$A$335,0),MATCH(S$3,'Budget by Source'!$A$5:$I$5,0))-(ROUND(INDEX('Budget by Source'!$A$6:$I$335,MATCH('Payment by Source'!$A110,'Budget by Source'!$A$6:$A$335,0),MATCH(S$3,'Budget by Source'!$A$5:$I$5,0))/10,0)*10)</f>
        <v>0</v>
      </c>
      <c r="T110" s="158">
        <f>INDEX('Budget by Source'!$A$6:$I$335,MATCH('Payment by Source'!$A110,'Budget by Source'!$A$6:$A$335,0),MATCH(T$3,'Budget by Source'!$A$5:$I$5,0))-(ROUND(INDEX('Budget by Source'!$A$6:$I$335,MATCH('Payment by Source'!$A110,'Budget by Source'!$A$6:$A$335,0),MATCH(T$3,'Budget by Source'!$A$5:$I$5,0))/10,0)*10)</f>
        <v>3</v>
      </c>
      <c r="U110" s="159">
        <f>INDEX('Budget by Source'!$A$6:$I$335,MATCH('Payment by Source'!$A110,'Budget by Source'!$A$6:$A$335,0),MATCH(U$3,'Budget by Source'!$A$5:$I$5,0))</f>
        <v>1968602</v>
      </c>
      <c r="V110" s="156">
        <f t="shared" si="4"/>
        <v>196860</v>
      </c>
      <c r="W110" s="156">
        <f t="shared" si="5"/>
        <v>1968600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4019</v>
      </c>
      <c r="D111" s="22">
        <f>IF(Notes!$B$2="June",ROUND('Budget by Source'!D111/10,0)+Q111,ROUND('Budget by Source'!D111/10,0))</f>
        <v>12870</v>
      </c>
      <c r="E111" s="22">
        <f>IF(Notes!$B$2="June",ROUND('Budget by Source'!E111/10,0)+R111,ROUND('Budget by Source'!E111/10,0))</f>
        <v>1842</v>
      </c>
      <c r="F111" s="22">
        <f>IF(Notes!$B$2="June",ROUND('Budget by Source'!F111/10,0)+S111,ROUND('Budget by Source'!F111/10,0))</f>
        <v>1250</v>
      </c>
      <c r="G111" s="22">
        <f>IF(Notes!$B$2="June",ROUND('Budget by Source'!G111/10,0)+T111,ROUND('Budget by Source'!G111/10,0))</f>
        <v>6337</v>
      </c>
      <c r="H111" s="22">
        <f t="shared" si="3"/>
        <v>88681</v>
      </c>
      <c r="I111" s="22">
        <f>INDEX(Data[],MATCH($A111,Data[Dist],0),MATCH(I$5,Data[#Headers],0))</f>
        <v>114999</v>
      </c>
      <c r="K111" s="70">
        <f>INDEX('Payment Total'!$A$7:$H$336,MATCH('Payment by Source'!$A111,'Payment Total'!$A$7:$A$336,0),6)-I111</f>
        <v>0</v>
      </c>
      <c r="P111" s="158">
        <f>INDEX('Budget by Source'!$A$6:$I$335,MATCH('Payment by Source'!$A111,'Budget by Source'!$A$6:$A$335,0),MATCH(P$3,'Budget by Source'!$A$5:$I$5,0))-(ROUND(INDEX('Budget by Source'!$A$6:$I$335,MATCH('Payment by Source'!$A111,'Budget by Source'!$A$6:$A$335,0),MATCH(P$3,'Budget by Source'!$A$5:$I$5,0))/10,0)*10)</f>
        <v>-3</v>
      </c>
      <c r="Q111" s="158">
        <f>INDEX('Budget by Source'!$A$6:$I$335,MATCH('Payment by Source'!$A111,'Budget by Source'!$A$6:$A$335,0),MATCH(Q$3,'Budget by Source'!$A$5:$I$5,0))-(ROUND(INDEX('Budget by Source'!$A$6:$I$335,MATCH('Payment by Source'!$A111,'Budget by Source'!$A$6:$A$335,0),MATCH(Q$3,'Budget by Source'!$A$5:$I$5,0))/10,0)*10)</f>
        <v>-5</v>
      </c>
      <c r="R111" s="158">
        <f>INDEX('Budget by Source'!$A$6:$I$335,MATCH('Payment by Source'!$A111,'Budget by Source'!$A$6:$A$335,0),MATCH(R$3,'Budget by Source'!$A$5:$I$5,0))-(ROUND(INDEX('Budget by Source'!$A$6:$I$335,MATCH('Payment by Source'!$A111,'Budget by Source'!$A$6:$A$335,0),MATCH(R$3,'Budget by Source'!$A$5:$I$5,0))/10,0)*10)</f>
        <v>0</v>
      </c>
      <c r="S111" s="158">
        <f>INDEX('Budget by Source'!$A$6:$I$335,MATCH('Payment by Source'!$A111,'Budget by Source'!$A$6:$A$335,0),MATCH(S$3,'Budget by Source'!$A$5:$I$5,0))-(ROUND(INDEX('Budget by Source'!$A$6:$I$335,MATCH('Payment by Source'!$A111,'Budget by Source'!$A$6:$A$335,0),MATCH(S$3,'Budget by Source'!$A$5:$I$5,0))/10,0)*10)</f>
        <v>4</v>
      </c>
      <c r="T111" s="158">
        <f>INDEX('Budget by Source'!$A$6:$I$335,MATCH('Payment by Source'!$A111,'Budget by Source'!$A$6:$A$335,0),MATCH(T$3,'Budget by Source'!$A$5:$I$5,0))-(ROUND(INDEX('Budget by Source'!$A$6:$I$335,MATCH('Payment by Source'!$A111,'Budget by Source'!$A$6:$A$335,0),MATCH(T$3,'Budget by Source'!$A$5:$I$5,0))/10,0)*10)</f>
        <v>1</v>
      </c>
      <c r="U111" s="159">
        <f>INDEX('Budget by Source'!$A$6:$I$335,MATCH('Payment by Source'!$A111,'Budget by Source'!$A$6:$A$335,0),MATCH(U$3,'Budget by Source'!$A$5:$I$5,0))</f>
        <v>890020</v>
      </c>
      <c r="V111" s="156">
        <f t="shared" si="4"/>
        <v>89002</v>
      </c>
      <c r="W111" s="156">
        <f t="shared" si="5"/>
        <v>890020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21113</v>
      </c>
      <c r="D112" s="22">
        <f>IF(Notes!$B$2="June",ROUND('Budget by Source'!D112/10,0)+Q112,ROUND('Budget by Source'!D112/10,0))</f>
        <v>79968</v>
      </c>
      <c r="E112" s="22">
        <f>IF(Notes!$B$2="June",ROUND('Budget by Source'!E112/10,0)+R112,ROUND('Budget by Source'!E112/10,0))</f>
        <v>10180</v>
      </c>
      <c r="F112" s="22">
        <f>IF(Notes!$B$2="June",ROUND('Budget by Source'!F112/10,0)+S112,ROUND('Budget by Source'!F112/10,0))</f>
        <v>8959</v>
      </c>
      <c r="G112" s="22">
        <f>IF(Notes!$B$2="June",ROUND('Budget by Source'!G112/10,0)+T112,ROUND('Budget by Source'!G112/10,0))</f>
        <v>44511</v>
      </c>
      <c r="H112" s="22">
        <f t="shared" si="3"/>
        <v>664934</v>
      </c>
      <c r="I112" s="22">
        <f>INDEX(Data[],MATCH($A112,Data[Dist],0),MATCH(I$5,Data[#Headers],0))</f>
        <v>829665</v>
      </c>
      <c r="K112" s="70">
        <f>INDEX('Payment Total'!$A$7:$H$336,MATCH('Payment by Source'!$A112,'Payment Total'!$A$7:$A$336,0),6)-I112</f>
        <v>0</v>
      </c>
      <c r="P112" s="158">
        <f>INDEX('Budget by Source'!$A$6:$I$335,MATCH('Payment by Source'!$A112,'Budget by Source'!$A$6:$A$335,0),MATCH(P$3,'Budget by Source'!$A$5:$I$5,0))-(ROUND(INDEX('Budget by Source'!$A$6:$I$335,MATCH('Payment by Source'!$A112,'Budget by Source'!$A$6:$A$335,0),MATCH(P$3,'Budget by Source'!$A$5:$I$5,0))/10,0)*10)</f>
        <v>-1</v>
      </c>
      <c r="Q112" s="158">
        <f>INDEX('Budget by Source'!$A$6:$I$335,MATCH('Payment by Source'!$A112,'Budget by Source'!$A$6:$A$335,0),MATCH(Q$3,'Budget by Source'!$A$5:$I$5,0))-(ROUND(INDEX('Budget by Source'!$A$6:$I$335,MATCH('Payment by Source'!$A112,'Budget by Source'!$A$6:$A$335,0),MATCH(Q$3,'Budget by Source'!$A$5:$I$5,0))/10,0)*10)</f>
        <v>2</v>
      </c>
      <c r="R112" s="158">
        <f>INDEX('Budget by Source'!$A$6:$I$335,MATCH('Payment by Source'!$A112,'Budget by Source'!$A$6:$A$335,0),MATCH(R$3,'Budget by Source'!$A$5:$I$5,0))-(ROUND(INDEX('Budget by Source'!$A$6:$I$335,MATCH('Payment by Source'!$A112,'Budget by Source'!$A$6:$A$335,0),MATCH(R$3,'Budget by Source'!$A$5:$I$5,0))/10,0)*10)</f>
        <v>-4</v>
      </c>
      <c r="S112" s="158">
        <f>INDEX('Budget by Source'!$A$6:$I$335,MATCH('Payment by Source'!$A112,'Budget by Source'!$A$6:$A$335,0),MATCH(S$3,'Budget by Source'!$A$5:$I$5,0))-(ROUND(INDEX('Budget by Source'!$A$6:$I$335,MATCH('Payment by Source'!$A112,'Budget by Source'!$A$6:$A$335,0),MATCH(S$3,'Budget by Source'!$A$5:$I$5,0))/10,0)*10)</f>
        <v>1</v>
      </c>
      <c r="T112" s="158">
        <f>INDEX('Budget by Source'!$A$6:$I$335,MATCH('Payment by Source'!$A112,'Budget by Source'!$A$6:$A$335,0),MATCH(T$3,'Budget by Source'!$A$5:$I$5,0))-(ROUND(INDEX('Budget by Source'!$A$6:$I$335,MATCH('Payment by Source'!$A112,'Budget by Source'!$A$6:$A$335,0),MATCH(T$3,'Budget by Source'!$A$5:$I$5,0))/10,0)*10)</f>
        <v>0</v>
      </c>
      <c r="U112" s="159">
        <f>INDEX('Budget by Source'!$A$6:$I$335,MATCH('Payment by Source'!$A112,'Budget by Source'!$A$6:$A$335,0),MATCH(U$3,'Budget by Source'!$A$5:$I$5,0))</f>
        <v>6671362</v>
      </c>
      <c r="V112" s="156">
        <f t="shared" si="4"/>
        <v>667136</v>
      </c>
      <c r="W112" s="156">
        <f t="shared" si="5"/>
        <v>6671360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7711</v>
      </c>
      <c r="D113" s="22">
        <f>IF(Notes!$B$2="June",ROUND('Budget by Source'!D113/10,0)+Q113,ROUND('Budget by Source'!D113/10,0))</f>
        <v>29263</v>
      </c>
      <c r="E113" s="22">
        <f>IF(Notes!$B$2="June",ROUND('Budget by Source'!E113/10,0)+R113,ROUND('Budget by Source'!E113/10,0))</f>
        <v>2952</v>
      </c>
      <c r="F113" s="22">
        <f>IF(Notes!$B$2="June",ROUND('Budget by Source'!F113/10,0)+S113,ROUND('Budget by Source'!F113/10,0))</f>
        <v>3078</v>
      </c>
      <c r="G113" s="22">
        <f>IF(Notes!$B$2="June",ROUND('Budget by Source'!G113/10,0)+T113,ROUND('Budget by Source'!G113/10,0))</f>
        <v>14302</v>
      </c>
      <c r="H113" s="22">
        <f t="shared" si="3"/>
        <v>173645</v>
      </c>
      <c r="I113" s="22">
        <f>INDEX(Data[],MATCH($A113,Data[Dist],0),MATCH(I$5,Data[#Headers],0))</f>
        <v>230951</v>
      </c>
      <c r="K113" s="70">
        <f>INDEX('Payment Total'!$A$7:$H$336,MATCH('Payment by Source'!$A113,'Payment Total'!$A$7:$A$336,0),6)-I113</f>
        <v>0</v>
      </c>
      <c r="P113" s="158">
        <f>INDEX('Budget by Source'!$A$6:$I$335,MATCH('Payment by Source'!$A113,'Budget by Source'!$A$6:$A$335,0),MATCH(P$3,'Budget by Source'!$A$5:$I$5,0))-(ROUND(INDEX('Budget by Source'!$A$6:$I$335,MATCH('Payment by Source'!$A113,'Budget by Source'!$A$6:$A$335,0),MATCH(P$3,'Budget by Source'!$A$5:$I$5,0))/10,0)*10)</f>
        <v>3</v>
      </c>
      <c r="Q113" s="158">
        <f>INDEX('Budget by Source'!$A$6:$I$335,MATCH('Payment by Source'!$A113,'Budget by Source'!$A$6:$A$335,0),MATCH(Q$3,'Budget by Source'!$A$5:$I$5,0))-(ROUND(INDEX('Budget by Source'!$A$6:$I$335,MATCH('Payment by Source'!$A113,'Budget by Source'!$A$6:$A$335,0),MATCH(Q$3,'Budget by Source'!$A$5:$I$5,0))/10,0)*10)</f>
        <v>2</v>
      </c>
      <c r="R113" s="158">
        <f>INDEX('Budget by Source'!$A$6:$I$335,MATCH('Payment by Source'!$A113,'Budget by Source'!$A$6:$A$335,0),MATCH(R$3,'Budget by Source'!$A$5:$I$5,0))-(ROUND(INDEX('Budget by Source'!$A$6:$I$335,MATCH('Payment by Source'!$A113,'Budget by Source'!$A$6:$A$335,0),MATCH(R$3,'Budget by Source'!$A$5:$I$5,0))/10,0)*10)</f>
        <v>3</v>
      </c>
      <c r="S113" s="158">
        <f>INDEX('Budget by Source'!$A$6:$I$335,MATCH('Payment by Source'!$A113,'Budget by Source'!$A$6:$A$335,0),MATCH(S$3,'Budget by Source'!$A$5:$I$5,0))-(ROUND(INDEX('Budget by Source'!$A$6:$I$335,MATCH('Payment by Source'!$A113,'Budget by Source'!$A$6:$A$335,0),MATCH(S$3,'Budget by Source'!$A$5:$I$5,0))/10,0)*10)</f>
        <v>-5</v>
      </c>
      <c r="T113" s="158">
        <f>INDEX('Budget by Source'!$A$6:$I$335,MATCH('Payment by Source'!$A113,'Budget by Source'!$A$6:$A$335,0),MATCH(T$3,'Budget by Source'!$A$5:$I$5,0))-(ROUND(INDEX('Budget by Source'!$A$6:$I$335,MATCH('Payment by Source'!$A113,'Budget by Source'!$A$6:$A$335,0),MATCH(T$3,'Budget by Source'!$A$5:$I$5,0))/10,0)*10)</f>
        <v>-3</v>
      </c>
      <c r="U113" s="159">
        <f>INDEX('Budget by Source'!$A$6:$I$335,MATCH('Payment by Source'!$A113,'Budget by Source'!$A$6:$A$335,0),MATCH(U$3,'Budget by Source'!$A$5:$I$5,0))</f>
        <v>1743360</v>
      </c>
      <c r="V113" s="156">
        <f t="shared" si="4"/>
        <v>174336</v>
      </c>
      <c r="W113" s="156">
        <f t="shared" si="5"/>
        <v>1743360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16086</v>
      </c>
      <c r="D114" s="22">
        <f>IF(Notes!$B$2="June",ROUND('Budget by Source'!D114/10,0)+Q114,ROUND('Budget by Source'!D114/10,0))</f>
        <v>96743</v>
      </c>
      <c r="E114" s="22">
        <f>IF(Notes!$B$2="June",ROUND('Budget by Source'!E114/10,0)+R114,ROUND('Budget by Source'!E114/10,0))</f>
        <v>11107</v>
      </c>
      <c r="F114" s="22">
        <f>IF(Notes!$B$2="June",ROUND('Budget by Source'!F114/10,0)+S114,ROUND('Budget by Source'!F114/10,0))</f>
        <v>10114</v>
      </c>
      <c r="G114" s="22">
        <f>IF(Notes!$B$2="June",ROUND('Budget by Source'!G114/10,0)+T114,ROUND('Budget by Source'!G114/10,0))</f>
        <v>52910</v>
      </c>
      <c r="H114" s="22">
        <f t="shared" si="3"/>
        <v>697009</v>
      </c>
      <c r="I114" s="22">
        <f>INDEX(Data[],MATCH($A114,Data[Dist],0),MATCH(I$5,Data[#Headers],0))</f>
        <v>883969</v>
      </c>
      <c r="K114" s="70">
        <f>INDEX('Payment Total'!$A$7:$H$336,MATCH('Payment by Source'!$A114,'Payment Total'!$A$7:$A$336,0),6)-I114</f>
        <v>0</v>
      </c>
      <c r="P114" s="158">
        <f>INDEX('Budget by Source'!$A$6:$I$335,MATCH('Payment by Source'!$A114,'Budget by Source'!$A$6:$A$335,0),MATCH(P$3,'Budget by Source'!$A$5:$I$5,0))-(ROUND(INDEX('Budget by Source'!$A$6:$I$335,MATCH('Payment by Source'!$A114,'Budget by Source'!$A$6:$A$335,0),MATCH(P$3,'Budget by Source'!$A$5:$I$5,0))/10,0)*10)</f>
        <v>-3</v>
      </c>
      <c r="Q114" s="158">
        <f>INDEX('Budget by Source'!$A$6:$I$335,MATCH('Payment by Source'!$A114,'Budget by Source'!$A$6:$A$335,0),MATCH(Q$3,'Budget by Source'!$A$5:$I$5,0))-(ROUND(INDEX('Budget by Source'!$A$6:$I$335,MATCH('Payment by Source'!$A114,'Budget by Source'!$A$6:$A$335,0),MATCH(Q$3,'Budget by Source'!$A$5:$I$5,0))/10,0)*10)</f>
        <v>4</v>
      </c>
      <c r="R114" s="158">
        <f>INDEX('Budget by Source'!$A$6:$I$335,MATCH('Payment by Source'!$A114,'Budget by Source'!$A$6:$A$335,0),MATCH(R$3,'Budget by Source'!$A$5:$I$5,0))-(ROUND(INDEX('Budget by Source'!$A$6:$I$335,MATCH('Payment by Source'!$A114,'Budget by Source'!$A$6:$A$335,0),MATCH(R$3,'Budget by Source'!$A$5:$I$5,0))/10,0)*10)</f>
        <v>3</v>
      </c>
      <c r="S114" s="158">
        <f>INDEX('Budget by Source'!$A$6:$I$335,MATCH('Payment by Source'!$A114,'Budget by Source'!$A$6:$A$335,0),MATCH(S$3,'Budget by Source'!$A$5:$I$5,0))-(ROUND(INDEX('Budget by Source'!$A$6:$I$335,MATCH('Payment by Source'!$A114,'Budget by Source'!$A$6:$A$335,0),MATCH(S$3,'Budget by Source'!$A$5:$I$5,0))/10,0)*10)</f>
        <v>-2</v>
      </c>
      <c r="T114" s="158">
        <f>INDEX('Budget by Source'!$A$6:$I$335,MATCH('Payment by Source'!$A114,'Budget by Source'!$A$6:$A$335,0),MATCH(T$3,'Budget by Source'!$A$5:$I$5,0))-(ROUND(INDEX('Budget by Source'!$A$6:$I$335,MATCH('Payment by Source'!$A114,'Budget by Source'!$A$6:$A$335,0),MATCH(T$3,'Budget by Source'!$A$5:$I$5,0))/10,0)*10)</f>
        <v>4</v>
      </c>
      <c r="U114" s="159">
        <f>INDEX('Budget by Source'!$A$6:$I$335,MATCH('Payment by Source'!$A114,'Budget by Source'!$A$6:$A$335,0),MATCH(U$3,'Budget by Source'!$A$5:$I$5,0))</f>
        <v>6996653</v>
      </c>
      <c r="V114" s="156">
        <f t="shared" si="4"/>
        <v>699665</v>
      </c>
      <c r="W114" s="156">
        <f t="shared" si="5"/>
        <v>6996650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24132</v>
      </c>
      <c r="D115" s="22">
        <f>IF(Notes!$B$2="June",ROUND('Budget by Source'!D115/10,0)+Q115,ROUND('Budget by Source'!D115/10,0))</f>
        <v>67244</v>
      </c>
      <c r="E115" s="22">
        <f>IF(Notes!$B$2="June",ROUND('Budget by Source'!E115/10,0)+R115,ROUND('Budget by Source'!E115/10,0))</f>
        <v>7565</v>
      </c>
      <c r="F115" s="22">
        <f>IF(Notes!$B$2="June",ROUND('Budget by Source'!F115/10,0)+S115,ROUND('Budget by Source'!F115/10,0))</f>
        <v>7832</v>
      </c>
      <c r="G115" s="22">
        <f>IF(Notes!$B$2="June",ROUND('Budget by Source'!G115/10,0)+T115,ROUND('Budget by Source'!G115/10,0))</f>
        <v>35731</v>
      </c>
      <c r="H115" s="22">
        <f t="shared" si="3"/>
        <v>495160</v>
      </c>
      <c r="I115" s="22">
        <f>INDEX(Data[],MATCH($A115,Data[Dist],0),MATCH(I$5,Data[#Headers],0))</f>
        <v>637664</v>
      </c>
      <c r="K115" s="70">
        <f>INDEX('Payment Total'!$A$7:$H$336,MATCH('Payment by Source'!$A115,'Payment Total'!$A$7:$A$336,0),6)-I115</f>
        <v>0</v>
      </c>
      <c r="P115" s="158">
        <f>INDEX('Budget by Source'!$A$6:$I$335,MATCH('Payment by Source'!$A115,'Budget by Source'!$A$6:$A$335,0),MATCH(P$3,'Budget by Source'!$A$5:$I$5,0))-(ROUND(INDEX('Budget by Source'!$A$6:$I$335,MATCH('Payment by Source'!$A115,'Budget by Source'!$A$6:$A$335,0),MATCH(P$3,'Budget by Source'!$A$5:$I$5,0))/10,0)*10)</f>
        <v>2</v>
      </c>
      <c r="Q115" s="158">
        <f>INDEX('Budget by Source'!$A$6:$I$335,MATCH('Payment by Source'!$A115,'Budget by Source'!$A$6:$A$335,0),MATCH(Q$3,'Budget by Source'!$A$5:$I$5,0))-(ROUND(INDEX('Budget by Source'!$A$6:$I$335,MATCH('Payment by Source'!$A115,'Budget by Source'!$A$6:$A$335,0),MATCH(Q$3,'Budget by Source'!$A$5:$I$5,0))/10,0)*10)</f>
        <v>-4</v>
      </c>
      <c r="R115" s="158">
        <f>INDEX('Budget by Source'!$A$6:$I$335,MATCH('Payment by Source'!$A115,'Budget by Source'!$A$6:$A$335,0),MATCH(R$3,'Budget by Source'!$A$5:$I$5,0))-(ROUND(INDEX('Budget by Source'!$A$6:$I$335,MATCH('Payment by Source'!$A115,'Budget by Source'!$A$6:$A$335,0),MATCH(R$3,'Budget by Source'!$A$5:$I$5,0))/10,0)*10)</f>
        <v>4</v>
      </c>
      <c r="S115" s="158">
        <f>INDEX('Budget by Source'!$A$6:$I$335,MATCH('Payment by Source'!$A115,'Budget by Source'!$A$6:$A$335,0),MATCH(S$3,'Budget by Source'!$A$5:$I$5,0))-(ROUND(INDEX('Budget by Source'!$A$6:$I$335,MATCH('Payment by Source'!$A115,'Budget by Source'!$A$6:$A$335,0),MATCH(S$3,'Budget by Source'!$A$5:$I$5,0))/10,0)*10)</f>
        <v>1</v>
      </c>
      <c r="T115" s="158">
        <f>INDEX('Budget by Source'!$A$6:$I$335,MATCH('Payment by Source'!$A115,'Budget by Source'!$A$6:$A$335,0),MATCH(T$3,'Budget by Source'!$A$5:$I$5,0))-(ROUND(INDEX('Budget by Source'!$A$6:$I$335,MATCH('Payment by Source'!$A115,'Budget by Source'!$A$6:$A$335,0),MATCH(T$3,'Budget by Source'!$A$5:$I$5,0))/10,0)*10)</f>
        <v>0</v>
      </c>
      <c r="U115" s="159">
        <f>INDEX('Budget by Source'!$A$6:$I$335,MATCH('Payment by Source'!$A115,'Budget by Source'!$A$6:$A$335,0),MATCH(U$3,'Budget by Source'!$A$5:$I$5,0))</f>
        <v>4969831</v>
      </c>
      <c r="V115" s="156">
        <f t="shared" si="4"/>
        <v>496983</v>
      </c>
      <c r="W115" s="156">
        <f t="shared" si="5"/>
        <v>4969830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66022</v>
      </c>
      <c r="D116" s="22">
        <f>IF(Notes!$B$2="June",ROUND('Budget by Source'!D116/10,0)+Q116,ROUND('Budget by Source'!D116/10,0))</f>
        <v>224945</v>
      </c>
      <c r="E116" s="22">
        <f>IF(Notes!$B$2="June",ROUND('Budget by Source'!E116/10,0)+R116,ROUND('Budget by Source'!E116/10,0))</f>
        <v>29691</v>
      </c>
      <c r="F116" s="22">
        <f>IF(Notes!$B$2="June",ROUND('Budget by Source'!F116/10,0)+S116,ROUND('Budget by Source'!F116/10,0))</f>
        <v>26174</v>
      </c>
      <c r="G116" s="22">
        <f>IF(Notes!$B$2="June",ROUND('Budget by Source'!G116/10,0)+T116,ROUND('Budget by Source'!G116/10,0))</f>
        <v>124072</v>
      </c>
      <c r="H116" s="22">
        <f t="shared" si="3"/>
        <v>2031654</v>
      </c>
      <c r="I116" s="22">
        <f>INDEX(Data[],MATCH($A116,Data[Dist],0),MATCH(I$5,Data[#Headers],0))</f>
        <v>2502558</v>
      </c>
      <c r="K116" s="70">
        <f>INDEX('Payment Total'!$A$7:$H$336,MATCH('Payment by Source'!$A116,'Payment Total'!$A$7:$A$336,0),6)-I116</f>
        <v>0</v>
      </c>
      <c r="P116" s="158">
        <f>INDEX('Budget by Source'!$A$6:$I$335,MATCH('Payment by Source'!$A116,'Budget by Source'!$A$6:$A$335,0),MATCH(P$3,'Budget by Source'!$A$5:$I$5,0))-(ROUND(INDEX('Budget by Source'!$A$6:$I$335,MATCH('Payment by Source'!$A116,'Budget by Source'!$A$6:$A$335,0),MATCH(P$3,'Budget by Source'!$A$5:$I$5,0))/10,0)*10)</f>
        <v>-1</v>
      </c>
      <c r="Q116" s="158">
        <f>INDEX('Budget by Source'!$A$6:$I$335,MATCH('Payment by Source'!$A116,'Budget by Source'!$A$6:$A$335,0),MATCH(Q$3,'Budget by Source'!$A$5:$I$5,0))-(ROUND(INDEX('Budget by Source'!$A$6:$I$335,MATCH('Payment by Source'!$A116,'Budget by Source'!$A$6:$A$335,0),MATCH(Q$3,'Budget by Source'!$A$5:$I$5,0))/10,0)*10)</f>
        <v>4</v>
      </c>
      <c r="R116" s="158">
        <f>INDEX('Budget by Source'!$A$6:$I$335,MATCH('Payment by Source'!$A116,'Budget by Source'!$A$6:$A$335,0),MATCH(R$3,'Budget by Source'!$A$5:$I$5,0))-(ROUND(INDEX('Budget by Source'!$A$6:$I$335,MATCH('Payment by Source'!$A116,'Budget by Source'!$A$6:$A$335,0),MATCH(R$3,'Budget by Source'!$A$5:$I$5,0))/10,0)*10)</f>
        <v>0</v>
      </c>
      <c r="S116" s="158">
        <f>INDEX('Budget by Source'!$A$6:$I$335,MATCH('Payment by Source'!$A116,'Budget by Source'!$A$6:$A$335,0),MATCH(S$3,'Budget by Source'!$A$5:$I$5,0))-(ROUND(INDEX('Budget by Source'!$A$6:$I$335,MATCH('Payment by Source'!$A116,'Budget by Source'!$A$6:$A$335,0),MATCH(S$3,'Budget by Source'!$A$5:$I$5,0))/10,0)*10)</f>
        <v>-2</v>
      </c>
      <c r="T116" s="158">
        <f>INDEX('Budget by Source'!$A$6:$I$335,MATCH('Payment by Source'!$A116,'Budget by Source'!$A$6:$A$335,0),MATCH(T$3,'Budget by Source'!$A$5:$I$5,0))-(ROUND(INDEX('Budget by Source'!$A$6:$I$335,MATCH('Payment by Source'!$A116,'Budget by Source'!$A$6:$A$335,0),MATCH(T$3,'Budget by Source'!$A$5:$I$5,0))/10,0)*10)</f>
        <v>-5</v>
      </c>
      <c r="U116" s="159">
        <f>INDEX('Budget by Source'!$A$6:$I$335,MATCH('Payment by Source'!$A116,'Budget by Source'!$A$6:$A$335,0),MATCH(U$3,'Budget by Source'!$A$5:$I$5,0))</f>
        <v>21068318</v>
      </c>
      <c r="V116" s="156">
        <f t="shared" si="4"/>
        <v>2106832</v>
      </c>
      <c r="W116" s="156">
        <f t="shared" si="5"/>
        <v>21068320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20777</v>
      </c>
      <c r="D117" s="22">
        <f>IF(Notes!$B$2="June",ROUND('Budget by Source'!D117/10,0)+Q117,ROUND('Budget by Source'!D117/10,0))</f>
        <v>118694</v>
      </c>
      <c r="E117" s="22">
        <f>IF(Notes!$B$2="June",ROUND('Budget by Source'!E117/10,0)+R117,ROUND('Budget by Source'!E117/10,0))</f>
        <v>14838</v>
      </c>
      <c r="F117" s="22">
        <f>IF(Notes!$B$2="June",ROUND('Budget by Source'!F117/10,0)+S117,ROUND('Budget by Source'!F117/10,0))</f>
        <v>13305</v>
      </c>
      <c r="G117" s="22">
        <f>IF(Notes!$B$2="June",ROUND('Budget by Source'!G117/10,0)+T117,ROUND('Budget by Source'!G117/10,0))</f>
        <v>69984</v>
      </c>
      <c r="H117" s="22">
        <f t="shared" si="3"/>
        <v>1088454</v>
      </c>
      <c r="I117" s="22">
        <f>INDEX(Data[],MATCH($A117,Data[Dist],0),MATCH(I$5,Data[#Headers],0))</f>
        <v>1326052</v>
      </c>
      <c r="K117" s="70">
        <f>INDEX('Payment Total'!$A$7:$H$336,MATCH('Payment by Source'!$A117,'Payment Total'!$A$7:$A$336,0),6)-I117</f>
        <v>0</v>
      </c>
      <c r="P117" s="158">
        <f>INDEX('Budget by Source'!$A$6:$I$335,MATCH('Payment by Source'!$A117,'Budget by Source'!$A$6:$A$335,0),MATCH(P$3,'Budget by Source'!$A$5:$I$5,0))-(ROUND(INDEX('Budget by Source'!$A$6:$I$335,MATCH('Payment by Source'!$A117,'Budget by Source'!$A$6:$A$335,0),MATCH(P$3,'Budget by Source'!$A$5:$I$5,0))/10,0)*10)</f>
        <v>-2</v>
      </c>
      <c r="Q117" s="158">
        <f>INDEX('Budget by Source'!$A$6:$I$335,MATCH('Payment by Source'!$A117,'Budget by Source'!$A$6:$A$335,0),MATCH(Q$3,'Budget by Source'!$A$5:$I$5,0))-(ROUND(INDEX('Budget by Source'!$A$6:$I$335,MATCH('Payment by Source'!$A117,'Budget by Source'!$A$6:$A$335,0),MATCH(Q$3,'Budget by Source'!$A$5:$I$5,0))/10,0)*10)</f>
        <v>-4</v>
      </c>
      <c r="R117" s="158">
        <f>INDEX('Budget by Source'!$A$6:$I$335,MATCH('Payment by Source'!$A117,'Budget by Source'!$A$6:$A$335,0),MATCH(R$3,'Budget by Source'!$A$5:$I$5,0))-(ROUND(INDEX('Budget by Source'!$A$6:$I$335,MATCH('Payment by Source'!$A117,'Budget by Source'!$A$6:$A$335,0),MATCH(R$3,'Budget by Source'!$A$5:$I$5,0))/10,0)*10)</f>
        <v>0</v>
      </c>
      <c r="S117" s="158">
        <f>INDEX('Budget by Source'!$A$6:$I$335,MATCH('Payment by Source'!$A117,'Budget by Source'!$A$6:$A$335,0),MATCH(S$3,'Budget by Source'!$A$5:$I$5,0))-(ROUND(INDEX('Budget by Source'!$A$6:$I$335,MATCH('Payment by Source'!$A117,'Budget by Source'!$A$6:$A$335,0),MATCH(S$3,'Budget by Source'!$A$5:$I$5,0))/10,0)*10)</f>
        <v>2</v>
      </c>
      <c r="T117" s="158">
        <f>INDEX('Budget by Source'!$A$6:$I$335,MATCH('Payment by Source'!$A117,'Budget by Source'!$A$6:$A$335,0),MATCH(T$3,'Budget by Source'!$A$5:$I$5,0))-(ROUND(INDEX('Budget by Source'!$A$6:$I$335,MATCH('Payment by Source'!$A117,'Budget by Source'!$A$6:$A$335,0),MATCH(T$3,'Budget by Source'!$A$5:$I$5,0))/10,0)*10)</f>
        <v>-5</v>
      </c>
      <c r="U117" s="159">
        <f>INDEX('Budget by Source'!$A$6:$I$335,MATCH('Payment by Source'!$A117,'Budget by Source'!$A$6:$A$335,0),MATCH(U$3,'Budget by Source'!$A$5:$I$5,0))</f>
        <v>10920164</v>
      </c>
      <c r="V117" s="156">
        <f t="shared" si="4"/>
        <v>1092016</v>
      </c>
      <c r="W117" s="156">
        <f t="shared" si="5"/>
        <v>10920160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9384</v>
      </c>
      <c r="D118" s="22">
        <f>IF(Notes!$B$2="June",ROUND('Budget by Source'!D118/10,0)+Q118,ROUND('Budget by Source'!D118/10,0))</f>
        <v>26268</v>
      </c>
      <c r="E118" s="22">
        <f>IF(Notes!$B$2="June",ROUND('Budget by Source'!E118/10,0)+R118,ROUND('Budget by Source'!E118/10,0))</f>
        <v>3381</v>
      </c>
      <c r="F118" s="22">
        <f>IF(Notes!$B$2="June",ROUND('Budget by Source'!F118/10,0)+S118,ROUND('Budget by Source'!F118/10,0))</f>
        <v>2556</v>
      </c>
      <c r="G118" s="22">
        <f>IF(Notes!$B$2="June",ROUND('Budget by Source'!G118/10,0)+T118,ROUND('Budget by Source'!G118/10,0))</f>
        <v>14756</v>
      </c>
      <c r="H118" s="22">
        <f t="shared" si="3"/>
        <v>206097</v>
      </c>
      <c r="I118" s="22">
        <f>INDEX(Data[],MATCH($A118,Data[Dist],0),MATCH(I$5,Data[#Headers],0))</f>
        <v>262442</v>
      </c>
      <c r="K118" s="70">
        <f>INDEX('Payment Total'!$A$7:$H$336,MATCH('Payment by Source'!$A118,'Payment Total'!$A$7:$A$336,0),6)-I118</f>
        <v>0</v>
      </c>
      <c r="P118" s="158">
        <f>INDEX('Budget by Source'!$A$6:$I$335,MATCH('Payment by Source'!$A118,'Budget by Source'!$A$6:$A$335,0),MATCH(P$3,'Budget by Source'!$A$5:$I$5,0))-(ROUND(INDEX('Budget by Source'!$A$6:$I$335,MATCH('Payment by Source'!$A118,'Budget by Source'!$A$6:$A$335,0),MATCH(P$3,'Budget by Source'!$A$5:$I$5,0))/10,0)*10)</f>
        <v>0</v>
      </c>
      <c r="Q118" s="158">
        <f>INDEX('Budget by Source'!$A$6:$I$335,MATCH('Payment by Source'!$A118,'Budget by Source'!$A$6:$A$335,0),MATCH(Q$3,'Budget by Source'!$A$5:$I$5,0))-(ROUND(INDEX('Budget by Source'!$A$6:$I$335,MATCH('Payment by Source'!$A118,'Budget by Source'!$A$6:$A$335,0),MATCH(Q$3,'Budget by Source'!$A$5:$I$5,0))/10,0)*10)</f>
        <v>-1</v>
      </c>
      <c r="R118" s="158">
        <f>INDEX('Budget by Source'!$A$6:$I$335,MATCH('Payment by Source'!$A118,'Budget by Source'!$A$6:$A$335,0),MATCH(R$3,'Budget by Source'!$A$5:$I$5,0))-(ROUND(INDEX('Budget by Source'!$A$6:$I$335,MATCH('Payment by Source'!$A118,'Budget by Source'!$A$6:$A$335,0),MATCH(R$3,'Budget by Source'!$A$5:$I$5,0))/10,0)*10)</f>
        <v>-1</v>
      </c>
      <c r="S118" s="158">
        <f>INDEX('Budget by Source'!$A$6:$I$335,MATCH('Payment by Source'!$A118,'Budget by Source'!$A$6:$A$335,0),MATCH(S$3,'Budget by Source'!$A$5:$I$5,0))-(ROUND(INDEX('Budget by Source'!$A$6:$I$335,MATCH('Payment by Source'!$A118,'Budget by Source'!$A$6:$A$335,0),MATCH(S$3,'Budget by Source'!$A$5:$I$5,0))/10,0)*10)</f>
        <v>4</v>
      </c>
      <c r="T118" s="158">
        <f>INDEX('Budget by Source'!$A$6:$I$335,MATCH('Payment by Source'!$A118,'Budget by Source'!$A$6:$A$335,0),MATCH(T$3,'Budget by Source'!$A$5:$I$5,0))-(ROUND(INDEX('Budget by Source'!$A$6:$I$335,MATCH('Payment by Source'!$A118,'Budget by Source'!$A$6:$A$335,0),MATCH(T$3,'Budget by Source'!$A$5:$I$5,0))/10,0)*10)</f>
        <v>-2</v>
      </c>
      <c r="U118" s="159">
        <f>INDEX('Budget by Source'!$A$6:$I$335,MATCH('Payment by Source'!$A118,'Budget by Source'!$A$6:$A$335,0),MATCH(U$3,'Budget by Source'!$A$5:$I$5,0))</f>
        <v>2068495</v>
      </c>
      <c r="V118" s="156">
        <f t="shared" si="4"/>
        <v>206850</v>
      </c>
      <c r="W118" s="156">
        <f t="shared" si="5"/>
        <v>2068500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10720</v>
      </c>
      <c r="D119" s="22">
        <f>IF(Notes!$B$2="June",ROUND('Budget by Source'!D119/10,0)+Q119,ROUND('Budget by Source'!D119/10,0))</f>
        <v>27881</v>
      </c>
      <c r="E119" s="22">
        <f>IF(Notes!$B$2="June",ROUND('Budget by Source'!E119/10,0)+R119,ROUND('Budget by Source'!E119/10,0))</f>
        <v>3025</v>
      </c>
      <c r="F119" s="22">
        <f>IF(Notes!$B$2="June",ROUND('Budget by Source'!F119/10,0)+S119,ROUND('Budget by Source'!F119/10,0))</f>
        <v>2893</v>
      </c>
      <c r="G119" s="22">
        <f>IF(Notes!$B$2="June",ROUND('Budget by Source'!G119/10,0)+T119,ROUND('Budget by Source'!G119/10,0))</f>
        <v>14493</v>
      </c>
      <c r="H119" s="22">
        <f t="shared" si="3"/>
        <v>158344</v>
      </c>
      <c r="I119" s="22">
        <f>INDEX(Data[],MATCH($A119,Data[Dist],0),MATCH(I$5,Data[#Headers],0))</f>
        <v>217356</v>
      </c>
      <c r="K119" s="70">
        <f>INDEX('Payment Total'!$A$7:$H$336,MATCH('Payment by Source'!$A119,'Payment Total'!$A$7:$A$336,0),6)-I119</f>
        <v>0</v>
      </c>
      <c r="P119" s="158">
        <f>INDEX('Budget by Source'!$A$6:$I$335,MATCH('Payment by Source'!$A119,'Budget by Source'!$A$6:$A$335,0),MATCH(P$3,'Budget by Source'!$A$5:$I$5,0))-(ROUND(INDEX('Budget by Source'!$A$6:$I$335,MATCH('Payment by Source'!$A119,'Budget by Source'!$A$6:$A$335,0),MATCH(P$3,'Budget by Source'!$A$5:$I$5,0))/10,0)*10)</f>
        <v>-5</v>
      </c>
      <c r="Q119" s="158">
        <f>INDEX('Budget by Source'!$A$6:$I$335,MATCH('Payment by Source'!$A119,'Budget by Source'!$A$6:$A$335,0),MATCH(Q$3,'Budget by Source'!$A$5:$I$5,0))-(ROUND(INDEX('Budget by Source'!$A$6:$I$335,MATCH('Payment by Source'!$A119,'Budget by Source'!$A$6:$A$335,0),MATCH(Q$3,'Budget by Source'!$A$5:$I$5,0))/10,0)*10)</f>
        <v>3</v>
      </c>
      <c r="R119" s="158">
        <f>INDEX('Budget by Source'!$A$6:$I$335,MATCH('Payment by Source'!$A119,'Budget by Source'!$A$6:$A$335,0),MATCH(R$3,'Budget by Source'!$A$5:$I$5,0))-(ROUND(INDEX('Budget by Source'!$A$6:$I$335,MATCH('Payment by Source'!$A119,'Budget by Source'!$A$6:$A$335,0),MATCH(R$3,'Budget by Source'!$A$5:$I$5,0))/10,0)*10)</f>
        <v>0</v>
      </c>
      <c r="S119" s="158">
        <f>INDEX('Budget by Source'!$A$6:$I$335,MATCH('Payment by Source'!$A119,'Budget by Source'!$A$6:$A$335,0),MATCH(S$3,'Budget by Source'!$A$5:$I$5,0))-(ROUND(INDEX('Budget by Source'!$A$6:$I$335,MATCH('Payment by Source'!$A119,'Budget by Source'!$A$6:$A$335,0),MATCH(S$3,'Budget by Source'!$A$5:$I$5,0))/10,0)*10)</f>
        <v>-5</v>
      </c>
      <c r="T119" s="158">
        <f>INDEX('Budget by Source'!$A$6:$I$335,MATCH('Payment by Source'!$A119,'Budget by Source'!$A$6:$A$335,0),MATCH(T$3,'Budget by Source'!$A$5:$I$5,0))-(ROUND(INDEX('Budget by Source'!$A$6:$I$335,MATCH('Payment by Source'!$A119,'Budget by Source'!$A$6:$A$335,0),MATCH(T$3,'Budget by Source'!$A$5:$I$5,0))/10,0)*10)</f>
        <v>-4</v>
      </c>
      <c r="U119" s="159">
        <f>INDEX('Budget by Source'!$A$6:$I$335,MATCH('Payment by Source'!$A119,'Budget by Source'!$A$6:$A$335,0),MATCH(U$3,'Budget by Source'!$A$5:$I$5,0))</f>
        <v>1590749</v>
      </c>
      <c r="V119" s="156">
        <f t="shared" si="4"/>
        <v>159075</v>
      </c>
      <c r="W119" s="156">
        <f t="shared" si="5"/>
        <v>1590750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21113</v>
      </c>
      <c r="D120" s="22">
        <f>IF(Notes!$B$2="June",ROUND('Budget by Source'!D120/10,0)+Q120,ROUND('Budget by Source'!D120/10,0))</f>
        <v>54303</v>
      </c>
      <c r="E120" s="22">
        <f>IF(Notes!$B$2="June",ROUND('Budget by Source'!E120/10,0)+R120,ROUND('Budget by Source'!E120/10,0))</f>
        <v>6247</v>
      </c>
      <c r="F120" s="22">
        <f>IF(Notes!$B$2="June",ROUND('Budget by Source'!F120/10,0)+S120,ROUND('Budget by Source'!F120/10,0))</f>
        <v>6031</v>
      </c>
      <c r="G120" s="22">
        <f>IF(Notes!$B$2="June",ROUND('Budget by Source'!G120/10,0)+T120,ROUND('Budget by Source'!G120/10,0))</f>
        <v>28797</v>
      </c>
      <c r="H120" s="22">
        <f t="shared" si="3"/>
        <v>275082</v>
      </c>
      <c r="I120" s="22">
        <f>INDEX(Data[],MATCH($A120,Data[Dist],0),MATCH(I$5,Data[#Headers],0))</f>
        <v>391573</v>
      </c>
      <c r="K120" s="70">
        <f>INDEX('Payment Total'!$A$7:$H$336,MATCH('Payment by Source'!$A120,'Payment Total'!$A$7:$A$336,0),6)-I120</f>
        <v>0</v>
      </c>
      <c r="P120" s="158">
        <f>INDEX('Budget by Source'!$A$6:$I$335,MATCH('Payment by Source'!$A120,'Budget by Source'!$A$6:$A$335,0),MATCH(P$3,'Budget by Source'!$A$5:$I$5,0))-(ROUND(INDEX('Budget by Source'!$A$6:$I$335,MATCH('Payment by Source'!$A120,'Budget by Source'!$A$6:$A$335,0),MATCH(P$3,'Budget by Source'!$A$5:$I$5,0))/10,0)*10)</f>
        <v>-1</v>
      </c>
      <c r="Q120" s="158">
        <f>INDEX('Budget by Source'!$A$6:$I$335,MATCH('Payment by Source'!$A120,'Budget by Source'!$A$6:$A$335,0),MATCH(Q$3,'Budget by Source'!$A$5:$I$5,0))-(ROUND(INDEX('Budget by Source'!$A$6:$I$335,MATCH('Payment by Source'!$A120,'Budget by Source'!$A$6:$A$335,0),MATCH(Q$3,'Budget by Source'!$A$5:$I$5,0))/10,0)*10)</f>
        <v>2</v>
      </c>
      <c r="R120" s="158">
        <f>INDEX('Budget by Source'!$A$6:$I$335,MATCH('Payment by Source'!$A120,'Budget by Source'!$A$6:$A$335,0),MATCH(R$3,'Budget by Source'!$A$5:$I$5,0))-(ROUND(INDEX('Budget by Source'!$A$6:$I$335,MATCH('Payment by Source'!$A120,'Budget by Source'!$A$6:$A$335,0),MATCH(R$3,'Budget by Source'!$A$5:$I$5,0))/10,0)*10)</f>
        <v>-1</v>
      </c>
      <c r="S120" s="158">
        <f>INDEX('Budget by Source'!$A$6:$I$335,MATCH('Payment by Source'!$A120,'Budget by Source'!$A$6:$A$335,0),MATCH(S$3,'Budget by Source'!$A$5:$I$5,0))-(ROUND(INDEX('Budget by Source'!$A$6:$I$335,MATCH('Payment by Source'!$A120,'Budget by Source'!$A$6:$A$335,0),MATCH(S$3,'Budget by Source'!$A$5:$I$5,0))/10,0)*10)</f>
        <v>4</v>
      </c>
      <c r="T120" s="158">
        <f>INDEX('Budget by Source'!$A$6:$I$335,MATCH('Payment by Source'!$A120,'Budget by Source'!$A$6:$A$335,0),MATCH(T$3,'Budget by Source'!$A$5:$I$5,0))-(ROUND(INDEX('Budget by Source'!$A$6:$I$335,MATCH('Payment by Source'!$A120,'Budget by Source'!$A$6:$A$335,0),MATCH(T$3,'Budget by Source'!$A$5:$I$5,0))/10,0)*10)</f>
        <v>-4</v>
      </c>
      <c r="U120" s="159">
        <f>INDEX('Budget by Source'!$A$6:$I$335,MATCH('Payment by Source'!$A120,'Budget by Source'!$A$6:$A$335,0),MATCH(U$3,'Budget by Source'!$A$5:$I$5,0))</f>
        <v>2765517</v>
      </c>
      <c r="V120" s="156">
        <f t="shared" si="4"/>
        <v>276552</v>
      </c>
      <c r="W120" s="156">
        <f t="shared" si="5"/>
        <v>2765520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6365</v>
      </c>
      <c r="D121" s="22">
        <f>IF(Notes!$B$2="June",ROUND('Budget by Source'!D121/10,0)+Q121,ROUND('Budget by Source'!D121/10,0))</f>
        <v>27484</v>
      </c>
      <c r="E121" s="22">
        <f>IF(Notes!$B$2="June",ROUND('Budget by Source'!E121/10,0)+R121,ROUND('Budget by Source'!E121/10,0))</f>
        <v>3112</v>
      </c>
      <c r="F121" s="22">
        <f>IF(Notes!$B$2="June",ROUND('Budget by Source'!F121/10,0)+S121,ROUND('Budget by Source'!F121/10,0))</f>
        <v>3056</v>
      </c>
      <c r="G121" s="22">
        <f>IF(Notes!$B$2="June",ROUND('Budget by Source'!G121/10,0)+T121,ROUND('Budget by Source'!G121/10,0))</f>
        <v>14839</v>
      </c>
      <c r="H121" s="22">
        <f t="shared" si="3"/>
        <v>148681</v>
      </c>
      <c r="I121" s="22">
        <f>INDEX(Data[],MATCH($A121,Data[Dist],0),MATCH(I$5,Data[#Headers],0))</f>
        <v>203537</v>
      </c>
      <c r="K121" s="70">
        <f>INDEX('Payment Total'!$A$7:$H$336,MATCH('Payment by Source'!$A121,'Payment Total'!$A$7:$A$336,0),6)-I121</f>
        <v>0</v>
      </c>
      <c r="P121" s="158">
        <f>INDEX('Budget by Source'!$A$6:$I$335,MATCH('Payment by Source'!$A121,'Budget by Source'!$A$6:$A$335,0),MATCH(P$3,'Budget by Source'!$A$5:$I$5,0))-(ROUND(INDEX('Budget by Source'!$A$6:$I$335,MATCH('Payment by Source'!$A121,'Budget by Source'!$A$6:$A$335,0),MATCH(P$3,'Budget by Source'!$A$5:$I$5,0))/10,0)*10)</f>
        <v>-3</v>
      </c>
      <c r="Q121" s="158">
        <f>INDEX('Budget by Source'!$A$6:$I$335,MATCH('Payment by Source'!$A121,'Budget by Source'!$A$6:$A$335,0),MATCH(Q$3,'Budget by Source'!$A$5:$I$5,0))-(ROUND(INDEX('Budget by Source'!$A$6:$I$335,MATCH('Payment by Source'!$A121,'Budget by Source'!$A$6:$A$335,0),MATCH(Q$3,'Budget by Source'!$A$5:$I$5,0))/10,0)*10)</f>
        <v>-1</v>
      </c>
      <c r="R121" s="158">
        <f>INDEX('Budget by Source'!$A$6:$I$335,MATCH('Payment by Source'!$A121,'Budget by Source'!$A$6:$A$335,0),MATCH(R$3,'Budget by Source'!$A$5:$I$5,0))-(ROUND(INDEX('Budget by Source'!$A$6:$I$335,MATCH('Payment by Source'!$A121,'Budget by Source'!$A$6:$A$335,0),MATCH(R$3,'Budget by Source'!$A$5:$I$5,0))/10,0)*10)</f>
        <v>3</v>
      </c>
      <c r="S121" s="158">
        <f>INDEX('Budget by Source'!$A$6:$I$335,MATCH('Payment by Source'!$A121,'Budget by Source'!$A$6:$A$335,0),MATCH(S$3,'Budget by Source'!$A$5:$I$5,0))-(ROUND(INDEX('Budget by Source'!$A$6:$I$335,MATCH('Payment by Source'!$A121,'Budget by Source'!$A$6:$A$335,0),MATCH(S$3,'Budget by Source'!$A$5:$I$5,0))/10,0)*10)</f>
        <v>1</v>
      </c>
      <c r="T121" s="158">
        <f>INDEX('Budget by Source'!$A$6:$I$335,MATCH('Payment by Source'!$A121,'Budget by Source'!$A$6:$A$335,0),MATCH(T$3,'Budget by Source'!$A$5:$I$5,0))-(ROUND(INDEX('Budget by Source'!$A$6:$I$335,MATCH('Payment by Source'!$A121,'Budget by Source'!$A$6:$A$335,0),MATCH(T$3,'Budget by Source'!$A$5:$I$5,0))/10,0)*10)</f>
        <v>1</v>
      </c>
      <c r="U121" s="159">
        <f>INDEX('Budget by Source'!$A$6:$I$335,MATCH('Payment by Source'!$A121,'Budget by Source'!$A$6:$A$335,0),MATCH(U$3,'Budget by Source'!$A$5:$I$5,0))</f>
        <v>1493924</v>
      </c>
      <c r="V121" s="156">
        <f t="shared" si="4"/>
        <v>149392</v>
      </c>
      <c r="W121" s="156">
        <f t="shared" si="5"/>
        <v>1493920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19776</v>
      </c>
      <c r="D122" s="22">
        <f>IF(Notes!$B$2="June",ROUND('Budget by Source'!D122/10,0)+Q122,ROUND('Budget by Source'!D122/10,0))</f>
        <v>81866</v>
      </c>
      <c r="E122" s="22">
        <f>IF(Notes!$B$2="June",ROUND('Budget by Source'!E122/10,0)+R122,ROUND('Budget by Source'!E122/10,0))</f>
        <v>7898</v>
      </c>
      <c r="F122" s="22">
        <f>IF(Notes!$B$2="June",ROUND('Budget by Source'!F122/10,0)+S122,ROUND('Budget by Source'!F122/10,0))</f>
        <v>9079</v>
      </c>
      <c r="G122" s="22">
        <f>IF(Notes!$B$2="June",ROUND('Budget by Source'!G122/10,0)+T122,ROUND('Budget by Source'!G122/10,0))</f>
        <v>48675</v>
      </c>
      <c r="H122" s="22">
        <f t="shared" si="3"/>
        <v>641315</v>
      </c>
      <c r="I122" s="22">
        <f>INDEX(Data[],MATCH($A122,Data[Dist],0),MATCH(I$5,Data[#Headers],0))</f>
        <v>808609</v>
      </c>
      <c r="K122" s="70">
        <f>INDEX('Payment Total'!$A$7:$H$336,MATCH('Payment by Source'!$A122,'Payment Total'!$A$7:$A$336,0),6)-I122</f>
        <v>0</v>
      </c>
      <c r="P122" s="158">
        <f>INDEX('Budget by Source'!$A$6:$I$335,MATCH('Payment by Source'!$A122,'Budget by Source'!$A$6:$A$335,0),MATCH(P$3,'Budget by Source'!$A$5:$I$5,0))-(ROUND(INDEX('Budget by Source'!$A$6:$I$335,MATCH('Payment by Source'!$A122,'Budget by Source'!$A$6:$A$335,0),MATCH(P$3,'Budget by Source'!$A$5:$I$5,0))/10,0)*10)</f>
        <v>3</v>
      </c>
      <c r="Q122" s="158">
        <f>INDEX('Budget by Source'!$A$6:$I$335,MATCH('Payment by Source'!$A122,'Budget by Source'!$A$6:$A$335,0),MATCH(Q$3,'Budget by Source'!$A$5:$I$5,0))-(ROUND(INDEX('Budget by Source'!$A$6:$I$335,MATCH('Payment by Source'!$A122,'Budget by Source'!$A$6:$A$335,0),MATCH(Q$3,'Budget by Source'!$A$5:$I$5,0))/10,0)*10)</f>
        <v>-2</v>
      </c>
      <c r="R122" s="158">
        <f>INDEX('Budget by Source'!$A$6:$I$335,MATCH('Payment by Source'!$A122,'Budget by Source'!$A$6:$A$335,0),MATCH(R$3,'Budget by Source'!$A$5:$I$5,0))-(ROUND(INDEX('Budget by Source'!$A$6:$I$335,MATCH('Payment by Source'!$A122,'Budget by Source'!$A$6:$A$335,0),MATCH(R$3,'Budget by Source'!$A$5:$I$5,0))/10,0)*10)</f>
        <v>-3</v>
      </c>
      <c r="S122" s="158">
        <f>INDEX('Budget by Source'!$A$6:$I$335,MATCH('Payment by Source'!$A122,'Budget by Source'!$A$6:$A$335,0),MATCH(S$3,'Budget by Source'!$A$5:$I$5,0))-(ROUND(INDEX('Budget by Source'!$A$6:$I$335,MATCH('Payment by Source'!$A122,'Budget by Source'!$A$6:$A$335,0),MATCH(S$3,'Budget by Source'!$A$5:$I$5,0))/10,0)*10)</f>
        <v>4</v>
      </c>
      <c r="T122" s="158">
        <f>INDEX('Budget by Source'!$A$6:$I$335,MATCH('Payment by Source'!$A122,'Budget by Source'!$A$6:$A$335,0),MATCH(T$3,'Budget by Source'!$A$5:$I$5,0))-(ROUND(INDEX('Budget by Source'!$A$6:$I$335,MATCH('Payment by Source'!$A122,'Budget by Source'!$A$6:$A$335,0),MATCH(T$3,'Budget by Source'!$A$5:$I$5,0))/10,0)*10)</f>
        <v>4</v>
      </c>
      <c r="U122" s="159">
        <f>INDEX('Budget by Source'!$A$6:$I$335,MATCH('Payment by Source'!$A122,'Budget by Source'!$A$6:$A$335,0),MATCH(U$3,'Budget by Source'!$A$5:$I$5,0))</f>
        <v>6438019</v>
      </c>
      <c r="V122" s="156">
        <f t="shared" si="4"/>
        <v>643802</v>
      </c>
      <c r="W122" s="156">
        <f t="shared" si="5"/>
        <v>6438020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5365</v>
      </c>
      <c r="D123" s="22">
        <f>IF(Notes!$B$2="June",ROUND('Budget by Source'!D123/10,0)+Q123,ROUND('Budget by Source'!D123/10,0))</f>
        <v>9554</v>
      </c>
      <c r="E123" s="22">
        <f>IF(Notes!$B$2="June",ROUND('Budget by Source'!E123/10,0)+R123,ROUND('Budget by Source'!E123/10,0))</f>
        <v>772</v>
      </c>
      <c r="F123" s="22">
        <f>IF(Notes!$B$2="June",ROUND('Budget by Source'!F123/10,0)+S123,ROUND('Budget by Source'!F123/10,0))</f>
        <v>1131</v>
      </c>
      <c r="G123" s="22">
        <f>IF(Notes!$B$2="June",ROUND('Budget by Source'!G123/10,0)+T123,ROUND('Budget by Source'!G123/10,0))</f>
        <v>4766</v>
      </c>
      <c r="H123" s="22">
        <f t="shared" si="3"/>
        <v>53265</v>
      </c>
      <c r="I123" s="22">
        <f>INDEX(Data[],MATCH($A123,Data[Dist],0),MATCH(I$5,Data[#Headers],0))</f>
        <v>74853</v>
      </c>
      <c r="K123" s="70">
        <f>INDEX('Payment Total'!$A$7:$H$336,MATCH('Payment by Source'!$A123,'Payment Total'!$A$7:$A$336,0),6)-I123</f>
        <v>0</v>
      </c>
      <c r="P123" s="158">
        <f>INDEX('Budget by Source'!$A$6:$I$335,MATCH('Payment by Source'!$A123,'Budget by Source'!$A$6:$A$335,0),MATCH(P$3,'Budget by Source'!$A$5:$I$5,0))-(ROUND(INDEX('Budget by Source'!$A$6:$I$335,MATCH('Payment by Source'!$A123,'Budget by Source'!$A$6:$A$335,0),MATCH(P$3,'Budget by Source'!$A$5:$I$5,0))/10,0)*10)</f>
        <v>3</v>
      </c>
      <c r="Q123" s="158">
        <f>INDEX('Budget by Source'!$A$6:$I$335,MATCH('Payment by Source'!$A123,'Budget by Source'!$A$6:$A$335,0),MATCH(Q$3,'Budget by Source'!$A$5:$I$5,0))-(ROUND(INDEX('Budget by Source'!$A$6:$I$335,MATCH('Payment by Source'!$A123,'Budget by Source'!$A$6:$A$335,0),MATCH(Q$3,'Budget by Source'!$A$5:$I$5,0))/10,0)*10)</f>
        <v>-2</v>
      </c>
      <c r="R123" s="158">
        <f>INDEX('Budget by Source'!$A$6:$I$335,MATCH('Payment by Source'!$A123,'Budget by Source'!$A$6:$A$335,0),MATCH(R$3,'Budget by Source'!$A$5:$I$5,0))-(ROUND(INDEX('Budget by Source'!$A$6:$I$335,MATCH('Payment by Source'!$A123,'Budget by Source'!$A$6:$A$335,0),MATCH(R$3,'Budget by Source'!$A$5:$I$5,0))/10,0)*10)</f>
        <v>-1</v>
      </c>
      <c r="S123" s="158">
        <f>INDEX('Budget by Source'!$A$6:$I$335,MATCH('Payment by Source'!$A123,'Budget by Source'!$A$6:$A$335,0),MATCH(S$3,'Budget by Source'!$A$5:$I$5,0))-(ROUND(INDEX('Budget by Source'!$A$6:$I$335,MATCH('Payment by Source'!$A123,'Budget by Source'!$A$6:$A$335,0),MATCH(S$3,'Budget by Source'!$A$5:$I$5,0))/10,0)*10)</f>
        <v>3</v>
      </c>
      <c r="T123" s="158">
        <f>INDEX('Budget by Source'!$A$6:$I$335,MATCH('Payment by Source'!$A123,'Budget by Source'!$A$6:$A$335,0),MATCH(T$3,'Budget by Source'!$A$5:$I$5,0))-(ROUND(INDEX('Budget by Source'!$A$6:$I$335,MATCH('Payment by Source'!$A123,'Budget by Source'!$A$6:$A$335,0),MATCH(T$3,'Budget by Source'!$A$5:$I$5,0))/10,0)*10)</f>
        <v>-1</v>
      </c>
      <c r="U123" s="159">
        <f>INDEX('Budget by Source'!$A$6:$I$335,MATCH('Payment by Source'!$A123,'Budget by Source'!$A$6:$A$335,0),MATCH(U$3,'Budget by Source'!$A$5:$I$5,0))</f>
        <v>535091</v>
      </c>
      <c r="V123" s="156">
        <f t="shared" si="4"/>
        <v>53509</v>
      </c>
      <c r="W123" s="156">
        <f t="shared" si="5"/>
        <v>535090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11393</v>
      </c>
      <c r="D124" s="22">
        <f>IF(Notes!$B$2="June",ROUND('Budget by Source'!D124/10,0)+Q124,ROUND('Budget by Source'!D124/10,0))</f>
        <v>36815</v>
      </c>
      <c r="E124" s="22">
        <f>IF(Notes!$B$2="June",ROUND('Budget by Source'!E124/10,0)+R124,ROUND('Budget by Source'!E124/10,0))</f>
        <v>3236</v>
      </c>
      <c r="F124" s="22">
        <f>IF(Notes!$B$2="June",ROUND('Budget by Source'!F124/10,0)+S124,ROUND('Budget by Source'!F124/10,0))</f>
        <v>3789</v>
      </c>
      <c r="G124" s="22">
        <f>IF(Notes!$B$2="June",ROUND('Budget by Source'!G124/10,0)+T124,ROUND('Budget by Source'!G124/10,0))</f>
        <v>19086</v>
      </c>
      <c r="H124" s="22">
        <f t="shared" si="3"/>
        <v>248735</v>
      </c>
      <c r="I124" s="22">
        <f>INDEX(Data[],MATCH($A124,Data[Dist],0),MATCH(I$5,Data[#Headers],0))</f>
        <v>323054</v>
      </c>
      <c r="K124" s="70">
        <f>INDEX('Payment Total'!$A$7:$H$336,MATCH('Payment by Source'!$A124,'Payment Total'!$A$7:$A$336,0),6)-I124</f>
        <v>0</v>
      </c>
      <c r="P124" s="158">
        <f>INDEX('Budget by Source'!$A$6:$I$335,MATCH('Payment by Source'!$A124,'Budget by Source'!$A$6:$A$335,0),MATCH(P$3,'Budget by Source'!$A$5:$I$5,0))-(ROUND(INDEX('Budget by Source'!$A$6:$I$335,MATCH('Payment by Source'!$A124,'Budget by Source'!$A$6:$A$335,0),MATCH(P$3,'Budget by Source'!$A$5:$I$5,0))/10,0)*10)</f>
        <v>-2</v>
      </c>
      <c r="Q124" s="158">
        <f>INDEX('Budget by Source'!$A$6:$I$335,MATCH('Payment by Source'!$A124,'Budget by Source'!$A$6:$A$335,0),MATCH(Q$3,'Budget by Source'!$A$5:$I$5,0))-(ROUND(INDEX('Budget by Source'!$A$6:$I$335,MATCH('Payment by Source'!$A124,'Budget by Source'!$A$6:$A$335,0),MATCH(Q$3,'Budget by Source'!$A$5:$I$5,0))/10,0)*10)</f>
        <v>-2</v>
      </c>
      <c r="R124" s="158">
        <f>INDEX('Budget by Source'!$A$6:$I$335,MATCH('Payment by Source'!$A124,'Budget by Source'!$A$6:$A$335,0),MATCH(R$3,'Budget by Source'!$A$5:$I$5,0))-(ROUND(INDEX('Budget by Source'!$A$6:$I$335,MATCH('Payment by Source'!$A124,'Budget by Source'!$A$6:$A$335,0),MATCH(R$3,'Budget by Source'!$A$5:$I$5,0))/10,0)*10)</f>
        <v>-3</v>
      </c>
      <c r="S124" s="158">
        <f>INDEX('Budget by Source'!$A$6:$I$335,MATCH('Payment by Source'!$A124,'Budget by Source'!$A$6:$A$335,0),MATCH(S$3,'Budget by Source'!$A$5:$I$5,0))-(ROUND(INDEX('Budget by Source'!$A$6:$I$335,MATCH('Payment by Source'!$A124,'Budget by Source'!$A$6:$A$335,0),MATCH(S$3,'Budget by Source'!$A$5:$I$5,0))/10,0)*10)</f>
        <v>-5</v>
      </c>
      <c r="T124" s="158">
        <f>INDEX('Budget by Source'!$A$6:$I$335,MATCH('Payment by Source'!$A124,'Budget by Source'!$A$6:$A$335,0),MATCH(T$3,'Budget by Source'!$A$5:$I$5,0))-(ROUND(INDEX('Budget by Source'!$A$6:$I$335,MATCH('Payment by Source'!$A124,'Budget by Source'!$A$6:$A$335,0),MATCH(T$3,'Budget by Source'!$A$5:$I$5,0))/10,0)*10)</f>
        <v>-5</v>
      </c>
      <c r="U124" s="159">
        <f>INDEX('Budget by Source'!$A$6:$I$335,MATCH('Payment by Source'!$A124,'Budget by Source'!$A$6:$A$335,0),MATCH(U$3,'Budget by Source'!$A$5:$I$5,0))</f>
        <v>2496949</v>
      </c>
      <c r="V124" s="156">
        <f t="shared" si="4"/>
        <v>249695</v>
      </c>
      <c r="W124" s="156">
        <f t="shared" si="5"/>
        <v>2496950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29488</v>
      </c>
      <c r="D125" s="22">
        <f>IF(Notes!$B$2="June",ROUND('Budget by Source'!D125/10,0)+Q125,ROUND('Budget by Source'!D125/10,0))</f>
        <v>109966</v>
      </c>
      <c r="E125" s="22">
        <f>IF(Notes!$B$2="June",ROUND('Budget by Source'!E125/10,0)+R125,ROUND('Budget by Source'!E125/10,0))</f>
        <v>13609</v>
      </c>
      <c r="F125" s="22">
        <f>IF(Notes!$B$2="June",ROUND('Budget by Source'!F125/10,0)+S125,ROUND('Budget by Source'!F125/10,0))</f>
        <v>11897</v>
      </c>
      <c r="G125" s="22">
        <f>IF(Notes!$B$2="June",ROUND('Budget by Source'!G125/10,0)+T125,ROUND('Budget by Source'!G125/10,0))</f>
        <v>64618</v>
      </c>
      <c r="H125" s="22">
        <f t="shared" si="3"/>
        <v>959442</v>
      </c>
      <c r="I125" s="22">
        <f>INDEX(Data[],MATCH($A125,Data[Dist],0),MATCH(I$5,Data[#Headers],0))</f>
        <v>1189020</v>
      </c>
      <c r="K125" s="70">
        <f>INDEX('Payment Total'!$A$7:$H$336,MATCH('Payment by Source'!$A125,'Payment Total'!$A$7:$A$336,0),6)-I125</f>
        <v>0</v>
      </c>
      <c r="P125" s="158">
        <f>INDEX('Budget by Source'!$A$6:$I$335,MATCH('Payment by Source'!$A125,'Budget by Source'!$A$6:$A$335,0),MATCH(P$3,'Budget by Source'!$A$5:$I$5,0))-(ROUND(INDEX('Budget by Source'!$A$6:$I$335,MATCH('Payment by Source'!$A125,'Budget by Source'!$A$6:$A$335,0),MATCH(P$3,'Budget by Source'!$A$5:$I$5,0))/10,0)*10)</f>
        <v>-5</v>
      </c>
      <c r="Q125" s="158">
        <f>INDEX('Budget by Source'!$A$6:$I$335,MATCH('Payment by Source'!$A125,'Budget by Source'!$A$6:$A$335,0),MATCH(Q$3,'Budget by Source'!$A$5:$I$5,0))-(ROUND(INDEX('Budget by Source'!$A$6:$I$335,MATCH('Payment by Source'!$A125,'Budget by Source'!$A$6:$A$335,0),MATCH(Q$3,'Budget by Source'!$A$5:$I$5,0))/10,0)*10)</f>
        <v>1</v>
      </c>
      <c r="R125" s="158">
        <f>INDEX('Budget by Source'!$A$6:$I$335,MATCH('Payment by Source'!$A125,'Budget by Source'!$A$6:$A$335,0),MATCH(R$3,'Budget by Source'!$A$5:$I$5,0))-(ROUND(INDEX('Budget by Source'!$A$6:$I$335,MATCH('Payment by Source'!$A125,'Budget by Source'!$A$6:$A$335,0),MATCH(R$3,'Budget by Source'!$A$5:$I$5,0))/10,0)*10)</f>
        <v>-5</v>
      </c>
      <c r="S125" s="158">
        <f>INDEX('Budget by Source'!$A$6:$I$335,MATCH('Payment by Source'!$A125,'Budget by Source'!$A$6:$A$335,0),MATCH(S$3,'Budget by Source'!$A$5:$I$5,0))-(ROUND(INDEX('Budget by Source'!$A$6:$I$335,MATCH('Payment by Source'!$A125,'Budget by Source'!$A$6:$A$335,0),MATCH(S$3,'Budget by Source'!$A$5:$I$5,0))/10,0)*10)</f>
        <v>-3</v>
      </c>
      <c r="T125" s="158">
        <f>INDEX('Budget by Source'!$A$6:$I$335,MATCH('Payment by Source'!$A125,'Budget by Source'!$A$6:$A$335,0),MATCH(T$3,'Budget by Source'!$A$5:$I$5,0))-(ROUND(INDEX('Budget by Source'!$A$6:$I$335,MATCH('Payment by Source'!$A125,'Budget by Source'!$A$6:$A$335,0),MATCH(T$3,'Budget by Source'!$A$5:$I$5,0))/10,0)*10)</f>
        <v>4</v>
      </c>
      <c r="U125" s="159">
        <f>INDEX('Budget by Source'!$A$6:$I$335,MATCH('Payment by Source'!$A125,'Budget by Source'!$A$6:$A$335,0),MATCH(U$3,'Budget by Source'!$A$5:$I$5,0))</f>
        <v>9627297</v>
      </c>
      <c r="V125" s="156">
        <f t="shared" si="4"/>
        <v>962730</v>
      </c>
      <c r="W125" s="156">
        <f t="shared" si="5"/>
        <v>9627300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8374</v>
      </c>
      <c r="D126" s="22">
        <f>IF(Notes!$B$2="June",ROUND('Budget by Source'!D126/10,0)+Q126,ROUND('Budget by Source'!D126/10,0))</f>
        <v>17567</v>
      </c>
      <c r="E126" s="22">
        <f>IF(Notes!$B$2="June",ROUND('Budget by Source'!E126/10,0)+R126,ROUND('Budget by Source'!E126/10,0))</f>
        <v>1903</v>
      </c>
      <c r="F126" s="22">
        <f>IF(Notes!$B$2="June",ROUND('Budget by Source'!F126/10,0)+S126,ROUND('Budget by Source'!F126/10,0))</f>
        <v>1855</v>
      </c>
      <c r="G126" s="22">
        <f>IF(Notes!$B$2="June",ROUND('Budget by Source'!G126/10,0)+T126,ROUND('Budget by Source'!G126/10,0))</f>
        <v>9074</v>
      </c>
      <c r="H126" s="22">
        <f t="shared" si="3"/>
        <v>106802</v>
      </c>
      <c r="I126" s="22">
        <f>INDEX(Data[],MATCH($A126,Data[Dist],0),MATCH(I$5,Data[#Headers],0))</f>
        <v>145575</v>
      </c>
      <c r="K126" s="70">
        <f>INDEX('Payment Total'!$A$7:$H$336,MATCH('Payment by Source'!$A126,'Payment Total'!$A$7:$A$336,0),6)-I126</f>
        <v>0</v>
      </c>
      <c r="P126" s="158">
        <f>INDEX('Budget by Source'!$A$6:$I$335,MATCH('Payment by Source'!$A126,'Budget by Source'!$A$6:$A$335,0),MATCH(P$3,'Budget by Source'!$A$5:$I$5,0))-(ROUND(INDEX('Budget by Source'!$A$6:$I$335,MATCH('Payment by Source'!$A126,'Budget by Source'!$A$6:$A$335,0),MATCH(P$3,'Budget by Source'!$A$5:$I$5,0))/10,0)*10)</f>
        <v>-5</v>
      </c>
      <c r="Q126" s="158">
        <f>INDEX('Budget by Source'!$A$6:$I$335,MATCH('Payment by Source'!$A126,'Budget by Source'!$A$6:$A$335,0),MATCH(Q$3,'Budget by Source'!$A$5:$I$5,0))-(ROUND(INDEX('Budget by Source'!$A$6:$I$335,MATCH('Payment by Source'!$A126,'Budget by Source'!$A$6:$A$335,0),MATCH(Q$3,'Budget by Source'!$A$5:$I$5,0))/10,0)*10)</f>
        <v>-5</v>
      </c>
      <c r="R126" s="158">
        <f>INDEX('Budget by Source'!$A$6:$I$335,MATCH('Payment by Source'!$A126,'Budget by Source'!$A$6:$A$335,0),MATCH(R$3,'Budget by Source'!$A$5:$I$5,0))-(ROUND(INDEX('Budget by Source'!$A$6:$I$335,MATCH('Payment by Source'!$A126,'Budget by Source'!$A$6:$A$335,0),MATCH(R$3,'Budget by Source'!$A$5:$I$5,0))/10,0)*10)</f>
        <v>1</v>
      </c>
      <c r="S126" s="158">
        <f>INDEX('Budget by Source'!$A$6:$I$335,MATCH('Payment by Source'!$A126,'Budget by Source'!$A$6:$A$335,0),MATCH(S$3,'Budget by Source'!$A$5:$I$5,0))-(ROUND(INDEX('Budget by Source'!$A$6:$I$335,MATCH('Payment by Source'!$A126,'Budget by Source'!$A$6:$A$335,0),MATCH(S$3,'Budget by Source'!$A$5:$I$5,0))/10,0)*10)</f>
        <v>-5</v>
      </c>
      <c r="T126" s="158">
        <f>INDEX('Budget by Source'!$A$6:$I$335,MATCH('Payment by Source'!$A126,'Budget by Source'!$A$6:$A$335,0),MATCH(T$3,'Budget by Source'!$A$5:$I$5,0))-(ROUND(INDEX('Budget by Source'!$A$6:$I$335,MATCH('Payment by Source'!$A126,'Budget by Source'!$A$6:$A$335,0),MATCH(T$3,'Budget by Source'!$A$5:$I$5,0))/10,0)*10)</f>
        <v>-3</v>
      </c>
      <c r="U126" s="159">
        <f>INDEX('Budget by Source'!$A$6:$I$335,MATCH('Payment by Source'!$A126,'Budget by Source'!$A$6:$A$335,0),MATCH(U$3,'Budget by Source'!$A$5:$I$5,0))</f>
        <v>1072507</v>
      </c>
      <c r="V126" s="156">
        <f t="shared" si="4"/>
        <v>107251</v>
      </c>
      <c r="W126" s="156">
        <f t="shared" si="5"/>
        <v>1072510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4355</v>
      </c>
      <c r="D127" s="22">
        <f>IF(Notes!$B$2="June",ROUND('Budget by Source'!D127/10,0)+Q127,ROUND('Budget by Source'!D127/10,0))</f>
        <v>23997</v>
      </c>
      <c r="E127" s="22">
        <f>IF(Notes!$B$2="June",ROUND('Budget by Source'!E127/10,0)+R127,ROUND('Budget by Source'!E127/10,0))</f>
        <v>2785</v>
      </c>
      <c r="F127" s="22">
        <f>IF(Notes!$B$2="June",ROUND('Budget by Source'!F127/10,0)+S127,ROUND('Budget by Source'!F127/10,0))</f>
        <v>2272</v>
      </c>
      <c r="G127" s="22">
        <f>IF(Notes!$B$2="June",ROUND('Budget by Source'!G127/10,0)+T127,ROUND('Budget by Source'!G127/10,0))</f>
        <v>12729</v>
      </c>
      <c r="H127" s="22">
        <f t="shared" si="3"/>
        <v>122676</v>
      </c>
      <c r="I127" s="22">
        <f>INDEX(Data[],MATCH($A127,Data[Dist],0),MATCH(I$5,Data[#Headers],0))</f>
        <v>168814</v>
      </c>
      <c r="K127" s="70">
        <f>INDEX('Payment Total'!$A$7:$H$336,MATCH('Payment by Source'!$A127,'Payment Total'!$A$7:$A$336,0),6)-I127</f>
        <v>0</v>
      </c>
      <c r="P127" s="158">
        <f>INDEX('Budget by Source'!$A$6:$I$335,MATCH('Payment by Source'!$A127,'Budget by Source'!$A$6:$A$335,0),MATCH(P$3,'Budget by Source'!$A$5:$I$5,0))-(ROUND(INDEX('Budget by Source'!$A$6:$I$335,MATCH('Payment by Source'!$A127,'Budget by Source'!$A$6:$A$335,0),MATCH(P$3,'Budget by Source'!$A$5:$I$5,0))/10,0)*10)</f>
        <v>-2</v>
      </c>
      <c r="Q127" s="158">
        <f>INDEX('Budget by Source'!$A$6:$I$335,MATCH('Payment by Source'!$A127,'Budget by Source'!$A$6:$A$335,0),MATCH(Q$3,'Budget by Source'!$A$5:$I$5,0))-(ROUND(INDEX('Budget by Source'!$A$6:$I$335,MATCH('Payment by Source'!$A127,'Budget by Source'!$A$6:$A$335,0),MATCH(Q$3,'Budget by Source'!$A$5:$I$5,0))/10,0)*10)</f>
        <v>-4</v>
      </c>
      <c r="R127" s="158">
        <f>INDEX('Budget by Source'!$A$6:$I$335,MATCH('Payment by Source'!$A127,'Budget by Source'!$A$6:$A$335,0),MATCH(R$3,'Budget by Source'!$A$5:$I$5,0))-(ROUND(INDEX('Budget by Source'!$A$6:$I$335,MATCH('Payment by Source'!$A127,'Budget by Source'!$A$6:$A$335,0),MATCH(R$3,'Budget by Source'!$A$5:$I$5,0))/10,0)*10)</f>
        <v>0</v>
      </c>
      <c r="S127" s="158">
        <f>INDEX('Budget by Source'!$A$6:$I$335,MATCH('Payment by Source'!$A127,'Budget by Source'!$A$6:$A$335,0),MATCH(S$3,'Budget by Source'!$A$5:$I$5,0))-(ROUND(INDEX('Budget by Source'!$A$6:$I$335,MATCH('Payment by Source'!$A127,'Budget by Source'!$A$6:$A$335,0),MATCH(S$3,'Budget by Source'!$A$5:$I$5,0))/10,0)*10)</f>
        <v>-1</v>
      </c>
      <c r="T127" s="158">
        <f>INDEX('Budget by Source'!$A$6:$I$335,MATCH('Payment by Source'!$A127,'Budget by Source'!$A$6:$A$335,0),MATCH(T$3,'Budget by Source'!$A$5:$I$5,0))-(ROUND(INDEX('Budget by Source'!$A$6:$I$335,MATCH('Payment by Source'!$A127,'Budget by Source'!$A$6:$A$335,0),MATCH(T$3,'Budget by Source'!$A$5:$I$5,0))/10,0)*10)</f>
        <v>-5</v>
      </c>
      <c r="U127" s="159">
        <f>INDEX('Budget by Source'!$A$6:$I$335,MATCH('Payment by Source'!$A127,'Budget by Source'!$A$6:$A$335,0),MATCH(U$3,'Budget by Source'!$A$5:$I$5,0))</f>
        <v>1233160</v>
      </c>
      <c r="V127" s="156">
        <f t="shared" si="4"/>
        <v>123316</v>
      </c>
      <c r="W127" s="156">
        <f t="shared" si="5"/>
        <v>1233160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7374</v>
      </c>
      <c r="D128" s="22">
        <f>IF(Notes!$B$2="June",ROUND('Budget by Source'!D128/10,0)+Q128,ROUND('Budget by Source'!D128/10,0))</f>
        <v>40646</v>
      </c>
      <c r="E128" s="22">
        <f>IF(Notes!$B$2="June",ROUND('Budget by Source'!E128/10,0)+R128,ROUND('Budget by Source'!E128/10,0))</f>
        <v>4571</v>
      </c>
      <c r="F128" s="22">
        <f>IF(Notes!$B$2="June",ROUND('Budget by Source'!F128/10,0)+S128,ROUND('Budget by Source'!F128/10,0))</f>
        <v>4654</v>
      </c>
      <c r="G128" s="22">
        <f>IF(Notes!$B$2="June",ROUND('Budget by Source'!G128/10,0)+T128,ROUND('Budget by Source'!G128/10,0))</f>
        <v>21449</v>
      </c>
      <c r="H128" s="22">
        <f t="shared" si="3"/>
        <v>300905</v>
      </c>
      <c r="I128" s="22">
        <f>INDEX(Data[],MATCH($A128,Data[Dist],0),MATCH(I$5,Data[#Headers],0))</f>
        <v>379599</v>
      </c>
      <c r="K128" s="70">
        <f>INDEX('Payment Total'!$A$7:$H$336,MATCH('Payment by Source'!$A128,'Payment Total'!$A$7:$A$336,0),6)-I128</f>
        <v>0</v>
      </c>
      <c r="P128" s="158">
        <f>INDEX('Budget by Source'!$A$6:$I$335,MATCH('Payment by Source'!$A128,'Budget by Source'!$A$6:$A$335,0),MATCH(P$3,'Budget by Source'!$A$5:$I$5,0))-(ROUND(INDEX('Budget by Source'!$A$6:$I$335,MATCH('Payment by Source'!$A128,'Budget by Source'!$A$6:$A$335,0),MATCH(P$3,'Budget by Source'!$A$5:$I$5,0))/10,0)*10)</f>
        <v>1</v>
      </c>
      <c r="Q128" s="158">
        <f>INDEX('Budget by Source'!$A$6:$I$335,MATCH('Payment by Source'!$A128,'Budget by Source'!$A$6:$A$335,0),MATCH(Q$3,'Budget by Source'!$A$5:$I$5,0))-(ROUND(INDEX('Budget by Source'!$A$6:$I$335,MATCH('Payment by Source'!$A128,'Budget by Source'!$A$6:$A$335,0),MATCH(Q$3,'Budget by Source'!$A$5:$I$5,0))/10,0)*10)</f>
        <v>-3</v>
      </c>
      <c r="R128" s="158">
        <f>INDEX('Budget by Source'!$A$6:$I$335,MATCH('Payment by Source'!$A128,'Budget by Source'!$A$6:$A$335,0),MATCH(R$3,'Budget by Source'!$A$5:$I$5,0))-(ROUND(INDEX('Budget by Source'!$A$6:$I$335,MATCH('Payment by Source'!$A128,'Budget by Source'!$A$6:$A$335,0),MATCH(R$3,'Budget by Source'!$A$5:$I$5,0))/10,0)*10)</f>
        <v>-5</v>
      </c>
      <c r="S128" s="158">
        <f>INDEX('Budget by Source'!$A$6:$I$335,MATCH('Payment by Source'!$A128,'Budget by Source'!$A$6:$A$335,0),MATCH(S$3,'Budget by Source'!$A$5:$I$5,0))-(ROUND(INDEX('Budget by Source'!$A$6:$I$335,MATCH('Payment by Source'!$A128,'Budget by Source'!$A$6:$A$335,0),MATCH(S$3,'Budget by Source'!$A$5:$I$5,0))/10,0)*10)</f>
        <v>-2</v>
      </c>
      <c r="T128" s="158">
        <f>INDEX('Budget by Source'!$A$6:$I$335,MATCH('Payment by Source'!$A128,'Budget by Source'!$A$6:$A$335,0),MATCH(T$3,'Budget by Source'!$A$5:$I$5,0))-(ROUND(INDEX('Budget by Source'!$A$6:$I$335,MATCH('Payment by Source'!$A128,'Budget by Source'!$A$6:$A$335,0),MATCH(T$3,'Budget by Source'!$A$5:$I$5,0))/10,0)*10)</f>
        <v>0</v>
      </c>
      <c r="U128" s="159">
        <f>INDEX('Budget by Source'!$A$6:$I$335,MATCH('Payment by Source'!$A128,'Budget by Source'!$A$6:$A$335,0),MATCH(U$3,'Budget by Source'!$A$5:$I$5,0))</f>
        <v>3019693</v>
      </c>
      <c r="V128" s="156">
        <f t="shared" si="4"/>
        <v>301969</v>
      </c>
      <c r="W128" s="156">
        <f t="shared" si="5"/>
        <v>3019690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6365</v>
      </c>
      <c r="D129" s="22">
        <f>IF(Notes!$B$2="June",ROUND('Budget by Source'!D129/10,0)+Q129,ROUND('Budget by Source'!D129/10,0))</f>
        <v>19315</v>
      </c>
      <c r="E129" s="22">
        <f>IF(Notes!$B$2="June",ROUND('Budget by Source'!E129/10,0)+R129,ROUND('Budget by Source'!E129/10,0))</f>
        <v>2292</v>
      </c>
      <c r="F129" s="22">
        <f>IF(Notes!$B$2="June",ROUND('Budget by Source'!F129/10,0)+S129,ROUND('Budget by Source'!F129/10,0))</f>
        <v>2287</v>
      </c>
      <c r="G129" s="22">
        <f>IF(Notes!$B$2="June",ROUND('Budget by Source'!G129/10,0)+T129,ROUND('Budget by Source'!G129/10,0))</f>
        <v>9283</v>
      </c>
      <c r="H129" s="22">
        <f t="shared" si="3"/>
        <v>101520</v>
      </c>
      <c r="I129" s="22">
        <f>INDEX(Data[],MATCH($A129,Data[Dist],0),MATCH(I$5,Data[#Headers],0))</f>
        <v>141062</v>
      </c>
      <c r="K129" s="70">
        <f>INDEX('Payment Total'!$A$7:$H$336,MATCH('Payment by Source'!$A129,'Payment Total'!$A$7:$A$336,0),6)-I129</f>
        <v>0</v>
      </c>
      <c r="P129" s="158">
        <f>INDEX('Budget by Source'!$A$6:$I$335,MATCH('Payment by Source'!$A129,'Budget by Source'!$A$6:$A$335,0),MATCH(P$3,'Budget by Source'!$A$5:$I$5,0))-(ROUND(INDEX('Budget by Source'!$A$6:$I$335,MATCH('Payment by Source'!$A129,'Budget by Source'!$A$6:$A$335,0),MATCH(P$3,'Budget by Source'!$A$5:$I$5,0))/10,0)*10)</f>
        <v>-3</v>
      </c>
      <c r="Q129" s="158">
        <f>INDEX('Budget by Source'!$A$6:$I$335,MATCH('Payment by Source'!$A129,'Budget by Source'!$A$6:$A$335,0),MATCH(Q$3,'Budget by Source'!$A$5:$I$5,0))-(ROUND(INDEX('Budget by Source'!$A$6:$I$335,MATCH('Payment by Source'!$A129,'Budget by Source'!$A$6:$A$335,0),MATCH(Q$3,'Budget by Source'!$A$5:$I$5,0))/10,0)*10)</f>
        <v>2</v>
      </c>
      <c r="R129" s="158">
        <f>INDEX('Budget by Source'!$A$6:$I$335,MATCH('Payment by Source'!$A129,'Budget by Source'!$A$6:$A$335,0),MATCH(R$3,'Budget by Source'!$A$5:$I$5,0))-(ROUND(INDEX('Budget by Source'!$A$6:$I$335,MATCH('Payment by Source'!$A129,'Budget by Source'!$A$6:$A$335,0),MATCH(R$3,'Budget by Source'!$A$5:$I$5,0))/10,0)*10)</f>
        <v>-1</v>
      </c>
      <c r="S129" s="158">
        <f>INDEX('Budget by Source'!$A$6:$I$335,MATCH('Payment by Source'!$A129,'Budget by Source'!$A$6:$A$335,0),MATCH(S$3,'Budget by Source'!$A$5:$I$5,0))-(ROUND(INDEX('Budget by Source'!$A$6:$I$335,MATCH('Payment by Source'!$A129,'Budget by Source'!$A$6:$A$335,0),MATCH(S$3,'Budget by Source'!$A$5:$I$5,0))/10,0)*10)</f>
        <v>2</v>
      </c>
      <c r="T129" s="158">
        <f>INDEX('Budget by Source'!$A$6:$I$335,MATCH('Payment by Source'!$A129,'Budget by Source'!$A$6:$A$335,0),MATCH(T$3,'Budget by Source'!$A$5:$I$5,0))-(ROUND(INDEX('Budget by Source'!$A$6:$I$335,MATCH('Payment by Source'!$A129,'Budget by Source'!$A$6:$A$335,0),MATCH(T$3,'Budget by Source'!$A$5:$I$5,0))/10,0)*10)</f>
        <v>-5</v>
      </c>
      <c r="U129" s="159">
        <f>INDEX('Budget by Source'!$A$6:$I$335,MATCH('Payment by Source'!$A129,'Budget by Source'!$A$6:$A$335,0),MATCH(U$3,'Budget by Source'!$A$5:$I$5,0))</f>
        <v>1019855</v>
      </c>
      <c r="V129" s="156">
        <f t="shared" si="4"/>
        <v>101986</v>
      </c>
      <c r="W129" s="156">
        <f t="shared" si="5"/>
        <v>1019860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30833</v>
      </c>
      <c r="D130" s="22">
        <f>IF(Notes!$B$2="June",ROUND('Budget by Source'!D130/10,0)+Q130,ROUND('Budget by Source'!D130/10,0))</f>
        <v>91218</v>
      </c>
      <c r="E130" s="22">
        <f>IF(Notes!$B$2="June",ROUND('Budget by Source'!E130/10,0)+R130,ROUND('Budget by Source'!E130/10,0))</f>
        <v>11100</v>
      </c>
      <c r="F130" s="22">
        <f>IF(Notes!$B$2="June",ROUND('Budget by Source'!F130/10,0)+S130,ROUND('Budget by Source'!F130/10,0))</f>
        <v>9974</v>
      </c>
      <c r="G130" s="22">
        <f>IF(Notes!$B$2="June",ROUND('Budget by Source'!G130/10,0)+T130,ROUND('Budget by Source'!G130/10,0))</f>
        <v>52191</v>
      </c>
      <c r="H130" s="22">
        <f t="shared" si="3"/>
        <v>764421</v>
      </c>
      <c r="I130" s="22">
        <f>INDEX(Data[],MATCH($A130,Data[Dist],0),MATCH(I$5,Data[#Headers],0))</f>
        <v>959737</v>
      </c>
      <c r="K130" s="70">
        <f>INDEX('Payment Total'!$A$7:$H$336,MATCH('Payment by Source'!$A130,'Payment Total'!$A$7:$A$336,0),6)-I130</f>
        <v>0</v>
      </c>
      <c r="P130" s="158">
        <f>INDEX('Budget by Source'!$A$6:$I$335,MATCH('Payment by Source'!$A130,'Budget by Source'!$A$6:$A$335,0),MATCH(P$3,'Budget by Source'!$A$5:$I$5,0))-(ROUND(INDEX('Budget by Source'!$A$6:$I$335,MATCH('Payment by Source'!$A130,'Budget by Source'!$A$6:$A$335,0),MATCH(P$3,'Budget by Source'!$A$5:$I$5,0))/10,0)*10)</f>
        <v>0</v>
      </c>
      <c r="Q130" s="158">
        <f>INDEX('Budget by Source'!$A$6:$I$335,MATCH('Payment by Source'!$A130,'Budget by Source'!$A$6:$A$335,0),MATCH(Q$3,'Budget by Source'!$A$5:$I$5,0))-(ROUND(INDEX('Budget by Source'!$A$6:$I$335,MATCH('Payment by Source'!$A130,'Budget by Source'!$A$6:$A$335,0),MATCH(Q$3,'Budget by Source'!$A$5:$I$5,0))/10,0)*10)</f>
        <v>-5</v>
      </c>
      <c r="R130" s="158">
        <f>INDEX('Budget by Source'!$A$6:$I$335,MATCH('Payment by Source'!$A130,'Budget by Source'!$A$6:$A$335,0),MATCH(R$3,'Budget by Source'!$A$5:$I$5,0))-(ROUND(INDEX('Budget by Source'!$A$6:$I$335,MATCH('Payment by Source'!$A130,'Budget by Source'!$A$6:$A$335,0),MATCH(R$3,'Budget by Source'!$A$5:$I$5,0))/10,0)*10)</f>
        <v>-4</v>
      </c>
      <c r="S130" s="158">
        <f>INDEX('Budget by Source'!$A$6:$I$335,MATCH('Payment by Source'!$A130,'Budget by Source'!$A$6:$A$335,0),MATCH(S$3,'Budget by Source'!$A$5:$I$5,0))-(ROUND(INDEX('Budget by Source'!$A$6:$I$335,MATCH('Payment by Source'!$A130,'Budget by Source'!$A$6:$A$335,0),MATCH(S$3,'Budget by Source'!$A$5:$I$5,0))/10,0)*10)</f>
        <v>-5</v>
      </c>
      <c r="T130" s="158">
        <f>INDEX('Budget by Source'!$A$6:$I$335,MATCH('Payment by Source'!$A130,'Budget by Source'!$A$6:$A$335,0),MATCH(T$3,'Budget by Source'!$A$5:$I$5,0))-(ROUND(INDEX('Budget by Source'!$A$6:$I$335,MATCH('Payment by Source'!$A130,'Budget by Source'!$A$6:$A$335,0),MATCH(T$3,'Budget by Source'!$A$5:$I$5,0))/10,0)*10)</f>
        <v>-1</v>
      </c>
      <c r="U130" s="159">
        <f>INDEX('Budget by Source'!$A$6:$I$335,MATCH('Payment by Source'!$A130,'Budget by Source'!$A$6:$A$335,0),MATCH(U$3,'Budget by Source'!$A$5:$I$5,0))</f>
        <v>7670705</v>
      </c>
      <c r="V130" s="156">
        <f t="shared" si="4"/>
        <v>767071</v>
      </c>
      <c r="W130" s="156">
        <f t="shared" si="5"/>
        <v>7670710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8047</v>
      </c>
      <c r="D131" s="22">
        <f>IF(Notes!$B$2="June",ROUND('Budget by Source'!D131/10,0)+Q131,ROUND('Budget by Source'!D131/10,0))</f>
        <v>29083</v>
      </c>
      <c r="E131" s="22">
        <f>IF(Notes!$B$2="June",ROUND('Budget by Source'!E131/10,0)+R131,ROUND('Budget by Source'!E131/10,0))</f>
        <v>3046</v>
      </c>
      <c r="F131" s="22">
        <f>IF(Notes!$B$2="June",ROUND('Budget by Source'!F131/10,0)+S131,ROUND('Budget by Source'!F131/10,0))</f>
        <v>3021</v>
      </c>
      <c r="G131" s="22">
        <f>IF(Notes!$B$2="June",ROUND('Budget by Source'!G131/10,0)+T131,ROUND('Budget by Source'!G131/10,0))</f>
        <v>16701</v>
      </c>
      <c r="H131" s="22">
        <f t="shared" si="3"/>
        <v>226876</v>
      </c>
      <c r="I131" s="22">
        <f>INDEX(Data[],MATCH($A131,Data[Dist],0),MATCH(I$5,Data[#Headers],0))</f>
        <v>286774</v>
      </c>
      <c r="K131" s="70">
        <f>INDEX('Payment Total'!$A$7:$H$336,MATCH('Payment by Source'!$A131,'Payment Total'!$A$7:$A$336,0),6)-I131</f>
        <v>0</v>
      </c>
      <c r="P131" s="158">
        <f>INDEX('Budget by Source'!$A$6:$I$335,MATCH('Payment by Source'!$A131,'Budget by Source'!$A$6:$A$335,0),MATCH(P$3,'Budget by Source'!$A$5:$I$5,0))-(ROUND(INDEX('Budget by Source'!$A$6:$I$335,MATCH('Payment by Source'!$A131,'Budget by Source'!$A$6:$A$335,0),MATCH(P$3,'Budget by Source'!$A$5:$I$5,0))/10,0)*10)</f>
        <v>4</v>
      </c>
      <c r="Q131" s="158">
        <f>INDEX('Budget by Source'!$A$6:$I$335,MATCH('Payment by Source'!$A131,'Budget by Source'!$A$6:$A$335,0),MATCH(Q$3,'Budget by Source'!$A$5:$I$5,0))-(ROUND(INDEX('Budget by Source'!$A$6:$I$335,MATCH('Payment by Source'!$A131,'Budget by Source'!$A$6:$A$335,0),MATCH(Q$3,'Budget by Source'!$A$5:$I$5,0))/10,0)*10)</f>
        <v>-4</v>
      </c>
      <c r="R131" s="158">
        <f>INDEX('Budget by Source'!$A$6:$I$335,MATCH('Payment by Source'!$A131,'Budget by Source'!$A$6:$A$335,0),MATCH(R$3,'Budget by Source'!$A$5:$I$5,0))-(ROUND(INDEX('Budget by Source'!$A$6:$I$335,MATCH('Payment by Source'!$A131,'Budget by Source'!$A$6:$A$335,0),MATCH(R$3,'Budget by Source'!$A$5:$I$5,0))/10,0)*10)</f>
        <v>-5</v>
      </c>
      <c r="S131" s="158">
        <f>INDEX('Budget by Source'!$A$6:$I$335,MATCH('Payment by Source'!$A131,'Budget by Source'!$A$6:$A$335,0),MATCH(S$3,'Budget by Source'!$A$5:$I$5,0))-(ROUND(INDEX('Budget by Source'!$A$6:$I$335,MATCH('Payment by Source'!$A131,'Budget by Source'!$A$6:$A$335,0),MATCH(S$3,'Budget by Source'!$A$5:$I$5,0))/10,0)*10)</f>
        <v>-3</v>
      </c>
      <c r="T131" s="158">
        <f>INDEX('Budget by Source'!$A$6:$I$335,MATCH('Payment by Source'!$A131,'Budget by Source'!$A$6:$A$335,0),MATCH(T$3,'Budget by Source'!$A$5:$I$5,0))-(ROUND(INDEX('Budget by Source'!$A$6:$I$335,MATCH('Payment by Source'!$A131,'Budget by Source'!$A$6:$A$335,0),MATCH(T$3,'Budget by Source'!$A$5:$I$5,0))/10,0)*10)</f>
        <v>1</v>
      </c>
      <c r="U131" s="159">
        <f>INDEX('Budget by Source'!$A$6:$I$335,MATCH('Payment by Source'!$A131,'Budget by Source'!$A$6:$A$335,0),MATCH(U$3,'Budget by Source'!$A$5:$I$5,0))</f>
        <v>2277082</v>
      </c>
      <c r="V131" s="156">
        <f t="shared" si="4"/>
        <v>227708</v>
      </c>
      <c r="W131" s="156">
        <f t="shared" si="5"/>
        <v>2277080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16421</v>
      </c>
      <c r="D132" s="22">
        <f>IF(Notes!$B$2="June",ROUND('Budget by Source'!D132/10,0)+Q132,ROUND('Budget by Source'!D132/10,0))</f>
        <v>41391</v>
      </c>
      <c r="E132" s="22">
        <f>IF(Notes!$B$2="June",ROUND('Budget by Source'!E132/10,0)+R132,ROUND('Budget by Source'!E132/10,0))</f>
        <v>3989</v>
      </c>
      <c r="F132" s="22">
        <f>IF(Notes!$B$2="June",ROUND('Budget by Source'!F132/10,0)+S132,ROUND('Budget by Source'!F132/10,0))</f>
        <v>4424</v>
      </c>
      <c r="G132" s="22">
        <f>IF(Notes!$B$2="June",ROUND('Budget by Source'!G132/10,0)+T132,ROUND('Budget by Source'!G132/10,0))</f>
        <v>21356</v>
      </c>
      <c r="H132" s="22">
        <f t="shared" si="3"/>
        <v>320160</v>
      </c>
      <c r="I132" s="22">
        <f>INDEX(Data[],MATCH($A132,Data[Dist],0),MATCH(I$5,Data[#Headers],0))</f>
        <v>407741</v>
      </c>
      <c r="K132" s="70">
        <f>INDEX('Payment Total'!$A$7:$H$336,MATCH('Payment by Source'!$A132,'Payment Total'!$A$7:$A$336,0),6)-I132</f>
        <v>0</v>
      </c>
      <c r="P132" s="158">
        <f>INDEX('Budget by Source'!$A$6:$I$335,MATCH('Payment by Source'!$A132,'Budget by Source'!$A$6:$A$335,0),MATCH(P$3,'Budget by Source'!$A$5:$I$5,0))-(ROUND(INDEX('Budget by Source'!$A$6:$I$335,MATCH('Payment by Source'!$A132,'Budget by Source'!$A$6:$A$335,0),MATCH(P$3,'Budget by Source'!$A$5:$I$5,0))/10,0)*10)</f>
        <v>-1</v>
      </c>
      <c r="Q132" s="158">
        <f>INDEX('Budget by Source'!$A$6:$I$335,MATCH('Payment by Source'!$A132,'Budget by Source'!$A$6:$A$335,0),MATCH(Q$3,'Budget by Source'!$A$5:$I$5,0))-(ROUND(INDEX('Budget by Source'!$A$6:$I$335,MATCH('Payment by Source'!$A132,'Budget by Source'!$A$6:$A$335,0),MATCH(Q$3,'Budget by Source'!$A$5:$I$5,0))/10,0)*10)</f>
        <v>-1</v>
      </c>
      <c r="R132" s="158">
        <f>INDEX('Budget by Source'!$A$6:$I$335,MATCH('Payment by Source'!$A132,'Budget by Source'!$A$6:$A$335,0),MATCH(R$3,'Budget by Source'!$A$5:$I$5,0))-(ROUND(INDEX('Budget by Source'!$A$6:$I$335,MATCH('Payment by Source'!$A132,'Budget by Source'!$A$6:$A$335,0),MATCH(R$3,'Budget by Source'!$A$5:$I$5,0))/10,0)*10)</f>
        <v>-4</v>
      </c>
      <c r="S132" s="158">
        <f>INDEX('Budget by Source'!$A$6:$I$335,MATCH('Payment by Source'!$A132,'Budget by Source'!$A$6:$A$335,0),MATCH(S$3,'Budget by Source'!$A$5:$I$5,0))-(ROUND(INDEX('Budget by Source'!$A$6:$I$335,MATCH('Payment by Source'!$A132,'Budget by Source'!$A$6:$A$335,0),MATCH(S$3,'Budget by Source'!$A$5:$I$5,0))/10,0)*10)</f>
        <v>-4</v>
      </c>
      <c r="T132" s="158">
        <f>INDEX('Budget by Source'!$A$6:$I$335,MATCH('Payment by Source'!$A132,'Budget by Source'!$A$6:$A$335,0),MATCH(T$3,'Budget by Source'!$A$5:$I$5,0))-(ROUND(INDEX('Budget by Source'!$A$6:$I$335,MATCH('Payment by Source'!$A132,'Budget by Source'!$A$6:$A$335,0),MATCH(T$3,'Budget by Source'!$A$5:$I$5,0))/10,0)*10)</f>
        <v>-4</v>
      </c>
      <c r="U132" s="159">
        <f>INDEX('Budget by Source'!$A$6:$I$335,MATCH('Payment by Source'!$A132,'Budget by Source'!$A$6:$A$335,0),MATCH(U$3,'Budget by Source'!$A$5:$I$5,0))</f>
        <v>3212384</v>
      </c>
      <c r="V132" s="156">
        <f t="shared" si="4"/>
        <v>321238</v>
      </c>
      <c r="W132" s="156">
        <f t="shared" si="5"/>
        <v>3212380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8711</v>
      </c>
      <c r="D133" s="22">
        <f>IF(Notes!$B$2="June",ROUND('Budget by Source'!D133/10,0)+Q133,ROUND('Budget by Source'!D133/10,0))</f>
        <v>27893</v>
      </c>
      <c r="E133" s="22">
        <f>IF(Notes!$B$2="June",ROUND('Budget by Source'!E133/10,0)+R133,ROUND('Budget by Source'!E133/10,0))</f>
        <v>3395</v>
      </c>
      <c r="F133" s="22">
        <f>IF(Notes!$B$2="June",ROUND('Budget by Source'!F133/10,0)+S133,ROUND('Budget by Source'!F133/10,0))</f>
        <v>2842</v>
      </c>
      <c r="G133" s="22">
        <f>IF(Notes!$B$2="June",ROUND('Budget by Source'!G133/10,0)+T133,ROUND('Budget by Source'!G133/10,0))</f>
        <v>14978</v>
      </c>
      <c r="H133" s="22">
        <f t="shared" si="3"/>
        <v>216782</v>
      </c>
      <c r="I133" s="22">
        <f>INDEX(Data[],MATCH($A133,Data[Dist],0),MATCH(I$5,Data[#Headers],0))</f>
        <v>274601</v>
      </c>
      <c r="K133" s="70">
        <f>INDEX('Payment Total'!$A$7:$H$336,MATCH('Payment by Source'!$A133,'Payment Total'!$A$7:$A$336,0),6)-I133</f>
        <v>0</v>
      </c>
      <c r="P133" s="158">
        <f>INDEX('Budget by Source'!$A$6:$I$335,MATCH('Payment by Source'!$A133,'Budget by Source'!$A$6:$A$335,0),MATCH(P$3,'Budget by Source'!$A$5:$I$5,0))-(ROUND(INDEX('Budget by Source'!$A$6:$I$335,MATCH('Payment by Source'!$A133,'Budget by Source'!$A$6:$A$335,0),MATCH(P$3,'Budget by Source'!$A$5:$I$5,0))/10,0)*10)</f>
        <v>-3</v>
      </c>
      <c r="Q133" s="158">
        <f>INDEX('Budget by Source'!$A$6:$I$335,MATCH('Payment by Source'!$A133,'Budget by Source'!$A$6:$A$335,0),MATCH(Q$3,'Budget by Source'!$A$5:$I$5,0))-(ROUND(INDEX('Budget by Source'!$A$6:$I$335,MATCH('Payment by Source'!$A133,'Budget by Source'!$A$6:$A$335,0),MATCH(Q$3,'Budget by Source'!$A$5:$I$5,0))/10,0)*10)</f>
        <v>-1</v>
      </c>
      <c r="R133" s="158">
        <f>INDEX('Budget by Source'!$A$6:$I$335,MATCH('Payment by Source'!$A133,'Budget by Source'!$A$6:$A$335,0),MATCH(R$3,'Budget by Source'!$A$5:$I$5,0))-(ROUND(INDEX('Budget by Source'!$A$6:$I$335,MATCH('Payment by Source'!$A133,'Budget by Source'!$A$6:$A$335,0),MATCH(R$3,'Budget by Source'!$A$5:$I$5,0))/10,0)*10)</f>
        <v>1</v>
      </c>
      <c r="S133" s="158">
        <f>INDEX('Budget by Source'!$A$6:$I$335,MATCH('Payment by Source'!$A133,'Budget by Source'!$A$6:$A$335,0),MATCH(S$3,'Budget by Source'!$A$5:$I$5,0))-(ROUND(INDEX('Budget by Source'!$A$6:$I$335,MATCH('Payment by Source'!$A133,'Budget by Source'!$A$6:$A$335,0),MATCH(S$3,'Budget by Source'!$A$5:$I$5,0))/10,0)*10)</f>
        <v>-4</v>
      </c>
      <c r="T133" s="158">
        <f>INDEX('Budget by Source'!$A$6:$I$335,MATCH('Payment by Source'!$A133,'Budget by Source'!$A$6:$A$335,0),MATCH(T$3,'Budget by Source'!$A$5:$I$5,0))-(ROUND(INDEX('Budget by Source'!$A$6:$I$335,MATCH('Payment by Source'!$A133,'Budget by Source'!$A$6:$A$335,0),MATCH(T$3,'Budget by Source'!$A$5:$I$5,0))/10,0)*10)</f>
        <v>1</v>
      </c>
      <c r="U133" s="159">
        <f>INDEX('Budget by Source'!$A$6:$I$335,MATCH('Payment by Source'!$A133,'Budget by Source'!$A$6:$A$335,0),MATCH(U$3,'Budget by Source'!$A$5:$I$5,0))</f>
        <v>2175222</v>
      </c>
      <c r="V133" s="156">
        <f t="shared" si="4"/>
        <v>217522</v>
      </c>
      <c r="W133" s="156">
        <f t="shared" si="5"/>
        <v>2175220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12402</v>
      </c>
      <c r="D134" s="22">
        <f>IF(Notes!$B$2="June",ROUND('Budget by Source'!D134/10,0)+Q134,ROUND('Budget by Source'!D134/10,0))</f>
        <v>33396</v>
      </c>
      <c r="E134" s="22">
        <f>IF(Notes!$B$2="June",ROUND('Budget by Source'!E134/10,0)+R134,ROUND('Budget by Source'!E134/10,0))</f>
        <v>3389</v>
      </c>
      <c r="F134" s="22">
        <f>IF(Notes!$B$2="June",ROUND('Budget by Source'!F134/10,0)+S134,ROUND('Budget by Source'!F134/10,0))</f>
        <v>3775</v>
      </c>
      <c r="G134" s="22">
        <f>IF(Notes!$B$2="June",ROUND('Budget by Source'!G134/10,0)+T134,ROUND('Budget by Source'!G134/10,0))</f>
        <v>18660</v>
      </c>
      <c r="H134" s="22">
        <f t="shared" si="3"/>
        <v>177725</v>
      </c>
      <c r="I134" s="22">
        <f>INDEX(Data[],MATCH($A134,Data[Dist],0),MATCH(I$5,Data[#Headers],0))</f>
        <v>249347</v>
      </c>
      <c r="K134" s="70">
        <f>INDEX('Payment Total'!$A$7:$H$336,MATCH('Payment by Source'!$A134,'Payment Total'!$A$7:$A$336,0),6)-I134</f>
        <v>0</v>
      </c>
      <c r="P134" s="158">
        <f>INDEX('Budget by Source'!$A$6:$I$335,MATCH('Payment by Source'!$A134,'Budget by Source'!$A$6:$A$335,0),MATCH(P$3,'Budget by Source'!$A$5:$I$5,0))-(ROUND(INDEX('Budget by Source'!$A$6:$I$335,MATCH('Payment by Source'!$A134,'Budget by Source'!$A$6:$A$335,0),MATCH(P$3,'Budget by Source'!$A$5:$I$5,0))/10,0)*10)</f>
        <v>2</v>
      </c>
      <c r="Q134" s="158">
        <f>INDEX('Budget by Source'!$A$6:$I$335,MATCH('Payment by Source'!$A134,'Budget by Source'!$A$6:$A$335,0),MATCH(Q$3,'Budget by Source'!$A$5:$I$5,0))-(ROUND(INDEX('Budget by Source'!$A$6:$I$335,MATCH('Payment by Source'!$A134,'Budget by Source'!$A$6:$A$335,0),MATCH(Q$3,'Budget by Source'!$A$5:$I$5,0))/10,0)*10)</f>
        <v>1</v>
      </c>
      <c r="R134" s="158">
        <f>INDEX('Budget by Source'!$A$6:$I$335,MATCH('Payment by Source'!$A134,'Budget by Source'!$A$6:$A$335,0),MATCH(R$3,'Budget by Source'!$A$5:$I$5,0))-(ROUND(INDEX('Budget by Source'!$A$6:$I$335,MATCH('Payment by Source'!$A134,'Budget by Source'!$A$6:$A$335,0),MATCH(R$3,'Budget by Source'!$A$5:$I$5,0))/10,0)*10)</f>
        <v>-5</v>
      </c>
      <c r="S134" s="158">
        <f>INDEX('Budget by Source'!$A$6:$I$335,MATCH('Payment by Source'!$A134,'Budget by Source'!$A$6:$A$335,0),MATCH(S$3,'Budget by Source'!$A$5:$I$5,0))-(ROUND(INDEX('Budget by Source'!$A$6:$I$335,MATCH('Payment by Source'!$A134,'Budget by Source'!$A$6:$A$335,0),MATCH(S$3,'Budget by Source'!$A$5:$I$5,0))/10,0)*10)</f>
        <v>-5</v>
      </c>
      <c r="T134" s="158">
        <f>INDEX('Budget by Source'!$A$6:$I$335,MATCH('Payment by Source'!$A134,'Budget by Source'!$A$6:$A$335,0),MATCH(T$3,'Budget by Source'!$A$5:$I$5,0))-(ROUND(INDEX('Budget by Source'!$A$6:$I$335,MATCH('Payment by Source'!$A134,'Budget by Source'!$A$6:$A$335,0),MATCH(T$3,'Budget by Source'!$A$5:$I$5,0))/10,0)*10)</f>
        <v>1</v>
      </c>
      <c r="U134" s="159">
        <f>INDEX('Budget by Source'!$A$6:$I$335,MATCH('Payment by Source'!$A134,'Budget by Source'!$A$6:$A$335,0),MATCH(U$3,'Budget by Source'!$A$5:$I$5,0))</f>
        <v>1786721</v>
      </c>
      <c r="V134" s="156">
        <f t="shared" si="4"/>
        <v>178672</v>
      </c>
      <c r="W134" s="156">
        <f t="shared" si="5"/>
        <v>1786720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9720</v>
      </c>
      <c r="D135" s="22">
        <f>IF(Notes!$B$2="June",ROUND('Budget by Source'!D135/10,0)+Q135,ROUND('Budget by Source'!D135/10,0))</f>
        <v>20195</v>
      </c>
      <c r="E135" s="22">
        <f>IF(Notes!$B$2="June",ROUND('Budget by Source'!E135/10,0)+R135,ROUND('Budget by Source'!E135/10,0))</f>
        <v>2117</v>
      </c>
      <c r="F135" s="22">
        <f>IF(Notes!$B$2="June",ROUND('Budget by Source'!F135/10,0)+S135,ROUND('Budget by Source'!F135/10,0))</f>
        <v>2084</v>
      </c>
      <c r="G135" s="22">
        <f>IF(Notes!$B$2="June",ROUND('Budget by Source'!G135/10,0)+T135,ROUND('Budget by Source'!G135/10,0))</f>
        <v>10898</v>
      </c>
      <c r="H135" s="22">
        <f t="shared" ref="H135:H198" si="6">I135-SUM(C135:G135)</f>
        <v>144367</v>
      </c>
      <c r="I135" s="22">
        <f>INDEX(Data[],MATCH($A135,Data[Dist],0),MATCH(I$5,Data[#Headers],0))</f>
        <v>189381</v>
      </c>
      <c r="K135" s="70">
        <f>INDEX('Payment Total'!$A$7:$H$336,MATCH('Payment by Source'!$A135,'Payment Total'!$A$7:$A$336,0),6)-I135</f>
        <v>0</v>
      </c>
      <c r="P135" s="158">
        <f>INDEX('Budget by Source'!$A$6:$I$335,MATCH('Payment by Source'!$A135,'Budget by Source'!$A$6:$A$335,0),MATCH(P$3,'Budget by Source'!$A$5:$I$5,0))-(ROUND(INDEX('Budget by Source'!$A$6:$I$335,MATCH('Payment by Source'!$A135,'Budget by Source'!$A$6:$A$335,0),MATCH(P$3,'Budget by Source'!$A$5:$I$5,0))/10,0)*10)</f>
        <v>1</v>
      </c>
      <c r="Q135" s="158">
        <f>INDEX('Budget by Source'!$A$6:$I$335,MATCH('Payment by Source'!$A135,'Budget by Source'!$A$6:$A$335,0),MATCH(Q$3,'Budget by Source'!$A$5:$I$5,0))-(ROUND(INDEX('Budget by Source'!$A$6:$I$335,MATCH('Payment by Source'!$A135,'Budget by Source'!$A$6:$A$335,0),MATCH(Q$3,'Budget by Source'!$A$5:$I$5,0))/10,0)*10)</f>
        <v>-1</v>
      </c>
      <c r="R135" s="158">
        <f>INDEX('Budget by Source'!$A$6:$I$335,MATCH('Payment by Source'!$A135,'Budget by Source'!$A$6:$A$335,0),MATCH(R$3,'Budget by Source'!$A$5:$I$5,0))-(ROUND(INDEX('Budget by Source'!$A$6:$I$335,MATCH('Payment by Source'!$A135,'Budget by Source'!$A$6:$A$335,0),MATCH(R$3,'Budget by Source'!$A$5:$I$5,0))/10,0)*10)</f>
        <v>0</v>
      </c>
      <c r="S135" s="158">
        <f>INDEX('Budget by Source'!$A$6:$I$335,MATCH('Payment by Source'!$A135,'Budget by Source'!$A$6:$A$335,0),MATCH(S$3,'Budget by Source'!$A$5:$I$5,0))-(ROUND(INDEX('Budget by Source'!$A$6:$I$335,MATCH('Payment by Source'!$A135,'Budget by Source'!$A$6:$A$335,0),MATCH(S$3,'Budget by Source'!$A$5:$I$5,0))/10,0)*10)</f>
        <v>0</v>
      </c>
      <c r="T135" s="158">
        <f>INDEX('Budget by Source'!$A$6:$I$335,MATCH('Payment by Source'!$A135,'Budget by Source'!$A$6:$A$335,0),MATCH(T$3,'Budget by Source'!$A$5:$I$5,0))-(ROUND(INDEX('Budget by Source'!$A$6:$I$335,MATCH('Payment by Source'!$A135,'Budget by Source'!$A$6:$A$335,0),MATCH(T$3,'Budget by Source'!$A$5:$I$5,0))/10,0)*10)</f>
        <v>3</v>
      </c>
      <c r="U135" s="159">
        <f>INDEX('Budget by Source'!$A$6:$I$335,MATCH('Payment by Source'!$A135,'Budget by Source'!$A$6:$A$335,0),MATCH(U$3,'Budget by Source'!$A$5:$I$5,0))</f>
        <v>1449269</v>
      </c>
      <c r="V135" s="156">
        <f t="shared" ref="V135:V198" si="7">ROUND(U135/10,0)</f>
        <v>144927</v>
      </c>
      <c r="W135" s="156">
        <f t="shared" ref="W135:W198" si="8">V135*10</f>
        <v>1449270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4692</v>
      </c>
      <c r="D136" s="22">
        <f>IF(Notes!$B$2="June",ROUND('Budget by Source'!D136/10,0)+Q136,ROUND('Budget by Source'!D136/10,0))</f>
        <v>13819</v>
      </c>
      <c r="E136" s="22">
        <f>IF(Notes!$B$2="June",ROUND('Budget by Source'!E136/10,0)+R136,ROUND('Budget by Source'!E136/10,0))</f>
        <v>1615</v>
      </c>
      <c r="F136" s="22">
        <f>IF(Notes!$B$2="June",ROUND('Budget by Source'!F136/10,0)+S136,ROUND('Budget by Source'!F136/10,0))</f>
        <v>1423</v>
      </c>
      <c r="G136" s="22">
        <f>IF(Notes!$B$2="June",ROUND('Budget by Source'!G136/10,0)+T136,ROUND('Budget by Source'!G136/10,0))</f>
        <v>7595</v>
      </c>
      <c r="H136" s="22">
        <f t="shared" si="6"/>
        <v>78724</v>
      </c>
      <c r="I136" s="22">
        <f>INDEX(Data[],MATCH($A136,Data[Dist],0),MATCH(I$5,Data[#Headers],0))</f>
        <v>107868</v>
      </c>
      <c r="K136" s="70">
        <f>INDEX('Payment Total'!$A$7:$H$336,MATCH('Payment by Source'!$A136,'Payment Total'!$A$7:$A$336,0),6)-I136</f>
        <v>0</v>
      </c>
      <c r="P136" s="158">
        <f>INDEX('Budget by Source'!$A$6:$I$335,MATCH('Payment by Source'!$A136,'Budget by Source'!$A$6:$A$335,0),MATCH(P$3,'Budget by Source'!$A$5:$I$5,0))-(ROUND(INDEX('Budget by Source'!$A$6:$I$335,MATCH('Payment by Source'!$A136,'Budget by Source'!$A$6:$A$335,0),MATCH(P$3,'Budget by Source'!$A$5:$I$5,0))/10,0)*10)</f>
        <v>0</v>
      </c>
      <c r="Q136" s="158">
        <f>INDEX('Budget by Source'!$A$6:$I$335,MATCH('Payment by Source'!$A136,'Budget by Source'!$A$6:$A$335,0),MATCH(Q$3,'Budget by Source'!$A$5:$I$5,0))-(ROUND(INDEX('Budget by Source'!$A$6:$I$335,MATCH('Payment by Source'!$A136,'Budget by Source'!$A$6:$A$335,0),MATCH(Q$3,'Budget by Source'!$A$5:$I$5,0))/10,0)*10)</f>
        <v>4</v>
      </c>
      <c r="R136" s="158">
        <f>INDEX('Budget by Source'!$A$6:$I$335,MATCH('Payment by Source'!$A136,'Budget by Source'!$A$6:$A$335,0),MATCH(R$3,'Budget by Source'!$A$5:$I$5,0))-(ROUND(INDEX('Budget by Source'!$A$6:$I$335,MATCH('Payment by Source'!$A136,'Budget by Source'!$A$6:$A$335,0),MATCH(R$3,'Budget by Source'!$A$5:$I$5,0))/10,0)*10)</f>
        <v>4</v>
      </c>
      <c r="S136" s="158">
        <f>INDEX('Budget by Source'!$A$6:$I$335,MATCH('Payment by Source'!$A136,'Budget by Source'!$A$6:$A$335,0),MATCH(S$3,'Budget by Source'!$A$5:$I$5,0))-(ROUND(INDEX('Budget by Source'!$A$6:$I$335,MATCH('Payment by Source'!$A136,'Budget by Source'!$A$6:$A$335,0),MATCH(S$3,'Budget by Source'!$A$5:$I$5,0))/10,0)*10)</f>
        <v>-2</v>
      </c>
      <c r="T136" s="158">
        <f>INDEX('Budget by Source'!$A$6:$I$335,MATCH('Payment by Source'!$A136,'Budget by Source'!$A$6:$A$335,0),MATCH(T$3,'Budget by Source'!$A$5:$I$5,0))-(ROUND(INDEX('Budget by Source'!$A$6:$I$335,MATCH('Payment by Source'!$A136,'Budget by Source'!$A$6:$A$335,0),MATCH(T$3,'Budget by Source'!$A$5:$I$5,0))/10,0)*10)</f>
        <v>-2</v>
      </c>
      <c r="U136" s="159">
        <f>INDEX('Budget by Source'!$A$6:$I$335,MATCH('Payment by Source'!$A136,'Budget by Source'!$A$6:$A$335,0),MATCH(U$3,'Budget by Source'!$A$5:$I$5,0))</f>
        <v>790951</v>
      </c>
      <c r="V136" s="156">
        <f t="shared" si="7"/>
        <v>79095</v>
      </c>
      <c r="W136" s="156">
        <f t="shared" si="8"/>
        <v>790950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16758</v>
      </c>
      <c r="D137" s="22">
        <f>IF(Notes!$B$2="June",ROUND('Budget by Source'!D137/10,0)+Q137,ROUND('Budget by Source'!D137/10,0))</f>
        <v>72580</v>
      </c>
      <c r="E137" s="22">
        <f>IF(Notes!$B$2="June",ROUND('Budget by Source'!E137/10,0)+R137,ROUND('Budget by Source'!E137/10,0))</f>
        <v>9361</v>
      </c>
      <c r="F137" s="22">
        <f>IF(Notes!$B$2="June",ROUND('Budget by Source'!F137/10,0)+S137,ROUND('Budget by Source'!F137/10,0))</f>
        <v>7864</v>
      </c>
      <c r="G137" s="22">
        <f>IF(Notes!$B$2="June",ROUND('Budget by Source'!G137/10,0)+T137,ROUND('Budget by Source'!G137/10,0))</f>
        <v>39182</v>
      </c>
      <c r="H137" s="22">
        <f t="shared" si="6"/>
        <v>648649</v>
      </c>
      <c r="I137" s="22">
        <f>INDEX(Data[],MATCH($A137,Data[Dist],0),MATCH(I$5,Data[#Headers],0))</f>
        <v>794394</v>
      </c>
      <c r="K137" s="70">
        <f>INDEX('Payment Total'!$A$7:$H$336,MATCH('Payment by Source'!$A137,'Payment Total'!$A$7:$A$336,0),6)-I137</f>
        <v>0</v>
      </c>
      <c r="P137" s="158">
        <f>INDEX('Budget by Source'!$A$6:$I$335,MATCH('Payment by Source'!$A137,'Budget by Source'!$A$6:$A$335,0),MATCH(P$3,'Budget by Source'!$A$5:$I$5,0))-(ROUND(INDEX('Budget by Source'!$A$6:$I$335,MATCH('Payment by Source'!$A137,'Budget by Source'!$A$6:$A$335,0),MATCH(P$3,'Budget by Source'!$A$5:$I$5,0))/10,0)*10)</f>
        <v>1</v>
      </c>
      <c r="Q137" s="158">
        <f>INDEX('Budget by Source'!$A$6:$I$335,MATCH('Payment by Source'!$A137,'Budget by Source'!$A$6:$A$335,0),MATCH(Q$3,'Budget by Source'!$A$5:$I$5,0))-(ROUND(INDEX('Budget by Source'!$A$6:$I$335,MATCH('Payment by Source'!$A137,'Budget by Source'!$A$6:$A$335,0),MATCH(Q$3,'Budget by Source'!$A$5:$I$5,0))/10,0)*10)</f>
        <v>-1</v>
      </c>
      <c r="R137" s="158">
        <f>INDEX('Budget by Source'!$A$6:$I$335,MATCH('Payment by Source'!$A137,'Budget by Source'!$A$6:$A$335,0),MATCH(R$3,'Budget by Source'!$A$5:$I$5,0))-(ROUND(INDEX('Budget by Source'!$A$6:$I$335,MATCH('Payment by Source'!$A137,'Budget by Source'!$A$6:$A$335,0),MATCH(R$3,'Budget by Source'!$A$5:$I$5,0))/10,0)*10)</f>
        <v>2</v>
      </c>
      <c r="S137" s="158">
        <f>INDEX('Budget by Source'!$A$6:$I$335,MATCH('Payment by Source'!$A137,'Budget by Source'!$A$6:$A$335,0),MATCH(S$3,'Budget by Source'!$A$5:$I$5,0))-(ROUND(INDEX('Budget by Source'!$A$6:$I$335,MATCH('Payment by Source'!$A137,'Budget by Source'!$A$6:$A$335,0),MATCH(S$3,'Budget by Source'!$A$5:$I$5,0))/10,0)*10)</f>
        <v>3</v>
      </c>
      <c r="T137" s="158">
        <f>INDEX('Budget by Source'!$A$6:$I$335,MATCH('Payment by Source'!$A137,'Budget by Source'!$A$6:$A$335,0),MATCH(T$3,'Budget by Source'!$A$5:$I$5,0))-(ROUND(INDEX('Budget by Source'!$A$6:$I$335,MATCH('Payment by Source'!$A137,'Budget by Source'!$A$6:$A$335,0),MATCH(T$3,'Budget by Source'!$A$5:$I$5,0))/10,0)*10)</f>
        <v>-5</v>
      </c>
      <c r="U137" s="159">
        <f>INDEX('Budget by Source'!$A$6:$I$335,MATCH('Payment by Source'!$A137,'Budget by Source'!$A$6:$A$335,0),MATCH(U$3,'Budget by Source'!$A$5:$I$5,0))</f>
        <v>6506471</v>
      </c>
      <c r="V137" s="156">
        <f t="shared" si="7"/>
        <v>650647</v>
      </c>
      <c r="W137" s="156">
        <f t="shared" si="8"/>
        <v>6506470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22786</v>
      </c>
      <c r="D138" s="22">
        <f>IF(Notes!$B$2="June",ROUND('Budget by Source'!D138/10,0)+Q138,ROUND('Budget by Source'!D138/10,0))</f>
        <v>83019</v>
      </c>
      <c r="E138" s="22">
        <f>IF(Notes!$B$2="June",ROUND('Budget by Source'!E138/10,0)+R138,ROUND('Budget by Source'!E138/10,0))</f>
        <v>9658</v>
      </c>
      <c r="F138" s="22">
        <f>IF(Notes!$B$2="June",ROUND('Budget by Source'!F138/10,0)+S138,ROUND('Budget by Source'!F138/10,0))</f>
        <v>9746</v>
      </c>
      <c r="G138" s="22">
        <f>IF(Notes!$B$2="June",ROUND('Budget by Source'!G138/10,0)+T138,ROUND('Budget by Source'!G138/10,0))</f>
        <v>46718</v>
      </c>
      <c r="H138" s="22">
        <f t="shared" si="6"/>
        <v>664322</v>
      </c>
      <c r="I138" s="22">
        <f>INDEX(Data[],MATCH($A138,Data[Dist],0),MATCH(I$5,Data[#Headers],0))</f>
        <v>836249</v>
      </c>
      <c r="K138" s="70">
        <f>INDEX('Payment Total'!$A$7:$H$336,MATCH('Payment by Source'!$A138,'Payment Total'!$A$7:$A$336,0),6)-I138</f>
        <v>0</v>
      </c>
      <c r="P138" s="158">
        <f>INDEX('Budget by Source'!$A$6:$I$335,MATCH('Payment by Source'!$A138,'Budget by Source'!$A$6:$A$335,0),MATCH(P$3,'Budget by Source'!$A$5:$I$5,0))-(ROUND(INDEX('Budget by Source'!$A$6:$I$335,MATCH('Payment by Source'!$A138,'Budget by Source'!$A$6:$A$335,0),MATCH(P$3,'Budget by Source'!$A$5:$I$5,0))/10,0)*10)</f>
        <v>-4</v>
      </c>
      <c r="Q138" s="158">
        <f>INDEX('Budget by Source'!$A$6:$I$335,MATCH('Payment by Source'!$A138,'Budget by Source'!$A$6:$A$335,0),MATCH(Q$3,'Budget by Source'!$A$5:$I$5,0))-(ROUND(INDEX('Budget by Source'!$A$6:$I$335,MATCH('Payment by Source'!$A138,'Budget by Source'!$A$6:$A$335,0),MATCH(Q$3,'Budget by Source'!$A$5:$I$5,0))/10,0)*10)</f>
        <v>-2</v>
      </c>
      <c r="R138" s="158">
        <f>INDEX('Budget by Source'!$A$6:$I$335,MATCH('Payment by Source'!$A138,'Budget by Source'!$A$6:$A$335,0),MATCH(R$3,'Budget by Source'!$A$5:$I$5,0))-(ROUND(INDEX('Budget by Source'!$A$6:$I$335,MATCH('Payment by Source'!$A138,'Budget by Source'!$A$6:$A$335,0),MATCH(R$3,'Budget by Source'!$A$5:$I$5,0))/10,0)*10)</f>
        <v>1</v>
      </c>
      <c r="S138" s="158">
        <f>INDEX('Budget by Source'!$A$6:$I$335,MATCH('Payment by Source'!$A138,'Budget by Source'!$A$6:$A$335,0),MATCH(S$3,'Budget by Source'!$A$5:$I$5,0))-(ROUND(INDEX('Budget by Source'!$A$6:$I$335,MATCH('Payment by Source'!$A138,'Budget by Source'!$A$6:$A$335,0),MATCH(S$3,'Budget by Source'!$A$5:$I$5,0))/10,0)*10)</f>
        <v>-3</v>
      </c>
      <c r="T138" s="158">
        <f>INDEX('Budget by Source'!$A$6:$I$335,MATCH('Payment by Source'!$A138,'Budget by Source'!$A$6:$A$335,0),MATCH(T$3,'Budget by Source'!$A$5:$I$5,0))-(ROUND(INDEX('Budget by Source'!$A$6:$I$335,MATCH('Payment by Source'!$A138,'Budget by Source'!$A$6:$A$335,0),MATCH(T$3,'Budget by Source'!$A$5:$I$5,0))/10,0)*10)</f>
        <v>-1</v>
      </c>
      <c r="U138" s="159">
        <f>INDEX('Budget by Source'!$A$6:$I$335,MATCH('Payment by Source'!$A138,'Budget by Source'!$A$6:$A$335,0),MATCH(U$3,'Budget by Source'!$A$5:$I$5,0))</f>
        <v>6666960</v>
      </c>
      <c r="V138" s="156">
        <f t="shared" si="7"/>
        <v>666696</v>
      </c>
      <c r="W138" s="156">
        <f t="shared" si="8"/>
        <v>6666960</v>
      </c>
    </row>
    <row r="139" spans="1:23" x14ac:dyDescent="0.2">
      <c r="A139" s="23" t="str">
        <f>Data!B135</f>
        <v>2834</v>
      </c>
      <c r="B139" s="21" t="str">
        <f>INDEX(Data[],MATCH($A139,Data[Dist],0),MATCH(B$5,Data[#Headers],0))</f>
        <v>Harmony</v>
      </c>
      <c r="C139" s="22">
        <f>IF(Notes!$B$2="June",ROUND('Budget by Source'!C139/10,0)+P139,ROUND('Budget by Source'!C139/10,0))</f>
        <v>4692</v>
      </c>
      <c r="D139" s="22">
        <f>IF(Notes!$B$2="June",ROUND('Budget by Source'!D139/10,0)+Q139,ROUND('Budget by Source'!D139/10,0))</f>
        <v>19769</v>
      </c>
      <c r="E139" s="22">
        <f>IF(Notes!$B$2="June",ROUND('Budget by Source'!E139/10,0)+R139,ROUND('Budget by Source'!E139/10,0))</f>
        <v>2415</v>
      </c>
      <c r="F139" s="22">
        <f>IF(Notes!$B$2="June",ROUND('Budget by Source'!F139/10,0)+S139,ROUND('Budget by Source'!F139/10,0))</f>
        <v>1905</v>
      </c>
      <c r="G139" s="22">
        <f>IF(Notes!$B$2="June",ROUND('Budget by Source'!G139/10,0)+T139,ROUND('Budget by Source'!G139/10,0))</f>
        <v>11304</v>
      </c>
      <c r="H139" s="22">
        <f t="shared" si="6"/>
        <v>187171</v>
      </c>
      <c r="I139" s="22">
        <f>INDEX(Data[],MATCH($A139,Data[Dist],0),MATCH(I$5,Data[#Headers],0))</f>
        <v>227256</v>
      </c>
      <c r="K139" s="70">
        <f>INDEX('Payment Total'!$A$7:$H$336,MATCH('Payment by Source'!$A139,'Payment Total'!$A$7:$A$336,0),6)-I139</f>
        <v>0</v>
      </c>
      <c r="P139" s="158">
        <f>INDEX('Budget by Source'!$A$6:$I$335,MATCH('Payment by Source'!$A139,'Budget by Source'!$A$6:$A$335,0),MATCH(P$3,'Budget by Source'!$A$5:$I$5,0))-(ROUND(INDEX('Budget by Source'!$A$6:$I$335,MATCH('Payment by Source'!$A139,'Budget by Source'!$A$6:$A$335,0),MATCH(P$3,'Budget by Source'!$A$5:$I$5,0))/10,0)*10)</f>
        <v>0</v>
      </c>
      <c r="Q139" s="158">
        <f>INDEX('Budget by Source'!$A$6:$I$335,MATCH('Payment by Source'!$A139,'Budget by Source'!$A$6:$A$335,0),MATCH(Q$3,'Budget by Source'!$A$5:$I$5,0))-(ROUND(INDEX('Budget by Source'!$A$6:$I$335,MATCH('Payment by Source'!$A139,'Budget by Source'!$A$6:$A$335,0),MATCH(Q$3,'Budget by Source'!$A$5:$I$5,0))/10,0)*10)</f>
        <v>4</v>
      </c>
      <c r="R139" s="158">
        <f>INDEX('Budget by Source'!$A$6:$I$335,MATCH('Payment by Source'!$A139,'Budget by Source'!$A$6:$A$335,0),MATCH(R$3,'Budget by Source'!$A$5:$I$5,0))-(ROUND(INDEX('Budget by Source'!$A$6:$I$335,MATCH('Payment by Source'!$A139,'Budget by Source'!$A$6:$A$335,0),MATCH(R$3,'Budget by Source'!$A$5:$I$5,0))/10,0)*10)</f>
        <v>3</v>
      </c>
      <c r="S139" s="158">
        <f>INDEX('Budget by Source'!$A$6:$I$335,MATCH('Payment by Source'!$A139,'Budget by Source'!$A$6:$A$335,0),MATCH(S$3,'Budget by Source'!$A$5:$I$5,0))-(ROUND(INDEX('Budget by Source'!$A$6:$I$335,MATCH('Payment by Source'!$A139,'Budget by Source'!$A$6:$A$335,0),MATCH(S$3,'Budget by Source'!$A$5:$I$5,0))/10,0)*10)</f>
        <v>-5</v>
      </c>
      <c r="T139" s="158">
        <f>INDEX('Budget by Source'!$A$6:$I$335,MATCH('Payment by Source'!$A139,'Budget by Source'!$A$6:$A$335,0),MATCH(T$3,'Budget by Source'!$A$5:$I$5,0))-(ROUND(INDEX('Budget by Source'!$A$6:$I$335,MATCH('Payment by Source'!$A139,'Budget by Source'!$A$6:$A$335,0),MATCH(T$3,'Budget by Source'!$A$5:$I$5,0))/10,0)*10)</f>
        <v>-3</v>
      </c>
      <c r="U139" s="159">
        <f>INDEX('Budget by Source'!$A$6:$I$335,MATCH('Payment by Source'!$A139,'Budget by Source'!$A$6:$A$335,0),MATCH(U$3,'Budget by Source'!$A$5:$I$5,0))</f>
        <v>1877462</v>
      </c>
      <c r="V139" s="156">
        <f t="shared" si="7"/>
        <v>187746</v>
      </c>
      <c r="W139" s="156">
        <f t="shared" si="8"/>
        <v>1877460</v>
      </c>
    </row>
    <row r="140" spans="1:23" x14ac:dyDescent="0.2">
      <c r="A140" s="23" t="str">
        <f>Data!B136</f>
        <v>2846</v>
      </c>
      <c r="B140" s="21" t="str">
        <f>INDEX(Data[],MATCH($A140,Data[Dist],0),MATCH(B$5,Data[#Headers],0))</f>
        <v>Harris-Lake Park</v>
      </c>
      <c r="C140" s="22">
        <f>IF(Notes!$B$2="June",ROUND('Budget by Source'!C140/10,0)+P140,ROUND('Budget by Source'!C140/10,0))</f>
        <v>6701</v>
      </c>
      <c r="D140" s="22">
        <f>IF(Notes!$B$2="June",ROUND('Budget by Source'!D140/10,0)+Q140,ROUND('Budget by Source'!D140/10,0))</f>
        <v>18638</v>
      </c>
      <c r="E140" s="22">
        <f>IF(Notes!$B$2="June",ROUND('Budget by Source'!E140/10,0)+R140,ROUND('Budget by Source'!E140/10,0))</f>
        <v>2520</v>
      </c>
      <c r="F140" s="22">
        <f>IF(Notes!$B$2="June",ROUND('Budget by Source'!F140/10,0)+S140,ROUND('Budget by Source'!F140/10,0))</f>
        <v>1946</v>
      </c>
      <c r="G140" s="22">
        <f>IF(Notes!$B$2="June",ROUND('Budget by Source'!G140/10,0)+T140,ROUND('Budget by Source'!G140/10,0))</f>
        <v>10023</v>
      </c>
      <c r="H140" s="22">
        <f t="shared" si="6"/>
        <v>65996</v>
      </c>
      <c r="I140" s="22">
        <f>INDEX(Data[],MATCH($A140,Data[Dist],0),MATCH(I$5,Data[#Headers],0))</f>
        <v>105824</v>
      </c>
      <c r="K140" s="70">
        <f>INDEX('Payment Total'!$A$7:$H$336,MATCH('Payment by Source'!$A140,'Payment Total'!$A$7:$A$336,0),6)-I140</f>
        <v>0</v>
      </c>
      <c r="P140" s="158">
        <f>INDEX('Budget by Source'!$A$6:$I$335,MATCH('Payment by Source'!$A140,'Budget by Source'!$A$6:$A$335,0),MATCH(P$3,'Budget by Source'!$A$5:$I$5,0))-(ROUND(INDEX('Budget by Source'!$A$6:$I$335,MATCH('Payment by Source'!$A140,'Budget by Source'!$A$6:$A$335,0),MATCH(P$3,'Budget by Source'!$A$5:$I$5,0))/10,0)*10)</f>
        <v>-2</v>
      </c>
      <c r="Q140" s="158">
        <f>INDEX('Budget by Source'!$A$6:$I$335,MATCH('Payment by Source'!$A140,'Budget by Source'!$A$6:$A$335,0),MATCH(Q$3,'Budget by Source'!$A$5:$I$5,0))-(ROUND(INDEX('Budget by Source'!$A$6:$I$335,MATCH('Payment by Source'!$A140,'Budget by Source'!$A$6:$A$335,0),MATCH(Q$3,'Budget by Source'!$A$5:$I$5,0))/10,0)*10)</f>
        <v>1</v>
      </c>
      <c r="R140" s="158">
        <f>INDEX('Budget by Source'!$A$6:$I$335,MATCH('Payment by Source'!$A140,'Budget by Source'!$A$6:$A$335,0),MATCH(R$3,'Budget by Source'!$A$5:$I$5,0))-(ROUND(INDEX('Budget by Source'!$A$6:$I$335,MATCH('Payment by Source'!$A140,'Budget by Source'!$A$6:$A$335,0),MATCH(R$3,'Budget by Source'!$A$5:$I$5,0))/10,0)*10)</f>
        <v>-2</v>
      </c>
      <c r="S140" s="158">
        <f>INDEX('Budget by Source'!$A$6:$I$335,MATCH('Payment by Source'!$A140,'Budget by Source'!$A$6:$A$335,0),MATCH(S$3,'Budget by Source'!$A$5:$I$5,0))-(ROUND(INDEX('Budget by Source'!$A$6:$I$335,MATCH('Payment by Source'!$A140,'Budget by Source'!$A$6:$A$335,0),MATCH(S$3,'Budget by Source'!$A$5:$I$5,0))/10,0)*10)</f>
        <v>3</v>
      </c>
      <c r="T140" s="158">
        <f>INDEX('Budget by Source'!$A$6:$I$335,MATCH('Payment by Source'!$A140,'Budget by Source'!$A$6:$A$335,0),MATCH(T$3,'Budget by Source'!$A$5:$I$5,0))-(ROUND(INDEX('Budget by Source'!$A$6:$I$335,MATCH('Payment by Source'!$A140,'Budget by Source'!$A$6:$A$335,0),MATCH(T$3,'Budget by Source'!$A$5:$I$5,0))/10,0)*10)</f>
        <v>3</v>
      </c>
      <c r="U140" s="159">
        <f>INDEX('Budget by Source'!$A$6:$I$335,MATCH('Payment by Source'!$A140,'Budget by Source'!$A$6:$A$335,0),MATCH(U$3,'Budget by Source'!$A$5:$I$5,0))</f>
        <v>665099</v>
      </c>
      <c r="V140" s="156">
        <f t="shared" si="7"/>
        <v>66510</v>
      </c>
      <c r="W140" s="156">
        <f t="shared" si="8"/>
        <v>665100</v>
      </c>
    </row>
    <row r="141" spans="1:23" x14ac:dyDescent="0.2">
      <c r="A141" s="23" t="str">
        <f>Data!B137</f>
        <v>2862</v>
      </c>
      <c r="B141" s="21" t="str">
        <f>INDEX(Data[],MATCH($A141,Data[Dist],0),MATCH(B$5,Data[#Headers],0))</f>
        <v>Hartley-Melvin-Sanborn</v>
      </c>
      <c r="C141" s="22">
        <f>IF(Notes!$B$2="June",ROUND('Budget by Source'!C141/10,0)+P141,ROUND('Budget by Source'!C141/10,0))</f>
        <v>13066</v>
      </c>
      <c r="D141" s="22">
        <f>IF(Notes!$B$2="June",ROUND('Budget by Source'!D141/10,0)+Q141,ROUND('Budget by Source'!D141/10,0))</f>
        <v>38792</v>
      </c>
      <c r="E141" s="22">
        <f>IF(Notes!$B$2="June",ROUND('Budget by Source'!E141/10,0)+R141,ROUND('Budget by Source'!E141/10,0))</f>
        <v>3892</v>
      </c>
      <c r="F141" s="22">
        <f>IF(Notes!$B$2="June",ROUND('Budget by Source'!F141/10,0)+S141,ROUND('Budget by Source'!F141/10,0))</f>
        <v>4180</v>
      </c>
      <c r="G141" s="22">
        <f>IF(Notes!$B$2="June",ROUND('Budget by Source'!G141/10,0)+T141,ROUND('Budget by Source'!G141/10,0))</f>
        <v>20609</v>
      </c>
      <c r="H141" s="22">
        <f t="shared" si="6"/>
        <v>235661</v>
      </c>
      <c r="I141" s="22">
        <f>INDEX(Data[],MATCH($A141,Data[Dist],0),MATCH(I$5,Data[#Headers],0))</f>
        <v>316200</v>
      </c>
      <c r="K141" s="70">
        <f>INDEX('Payment Total'!$A$7:$H$336,MATCH('Payment by Source'!$A141,'Payment Total'!$A$7:$A$336,0),6)-I141</f>
        <v>0</v>
      </c>
      <c r="P141" s="158">
        <f>INDEX('Budget by Source'!$A$6:$I$335,MATCH('Payment by Source'!$A141,'Budget by Source'!$A$6:$A$335,0),MATCH(P$3,'Budget by Source'!$A$5:$I$5,0))-(ROUND(INDEX('Budget by Source'!$A$6:$I$335,MATCH('Payment by Source'!$A141,'Budget by Source'!$A$6:$A$335,0),MATCH(P$3,'Budget by Source'!$A$5:$I$5,0))/10,0)*10)</f>
        <v>-5</v>
      </c>
      <c r="Q141" s="158">
        <f>INDEX('Budget by Source'!$A$6:$I$335,MATCH('Payment by Source'!$A141,'Budget by Source'!$A$6:$A$335,0),MATCH(Q$3,'Budget by Source'!$A$5:$I$5,0))-(ROUND(INDEX('Budget by Source'!$A$6:$I$335,MATCH('Payment by Source'!$A141,'Budget by Source'!$A$6:$A$335,0),MATCH(Q$3,'Budget by Source'!$A$5:$I$5,0))/10,0)*10)</f>
        <v>4</v>
      </c>
      <c r="R141" s="158">
        <f>INDEX('Budget by Source'!$A$6:$I$335,MATCH('Payment by Source'!$A141,'Budget by Source'!$A$6:$A$335,0),MATCH(R$3,'Budget by Source'!$A$5:$I$5,0))-(ROUND(INDEX('Budget by Source'!$A$6:$I$335,MATCH('Payment by Source'!$A141,'Budget by Source'!$A$6:$A$335,0),MATCH(R$3,'Budget by Source'!$A$5:$I$5,0))/10,0)*10)</f>
        <v>-2</v>
      </c>
      <c r="S141" s="158">
        <f>INDEX('Budget by Source'!$A$6:$I$335,MATCH('Payment by Source'!$A141,'Budget by Source'!$A$6:$A$335,0),MATCH(S$3,'Budget by Source'!$A$5:$I$5,0))-(ROUND(INDEX('Budget by Source'!$A$6:$I$335,MATCH('Payment by Source'!$A141,'Budget by Source'!$A$6:$A$335,0),MATCH(S$3,'Budget by Source'!$A$5:$I$5,0))/10,0)*10)</f>
        <v>-3</v>
      </c>
      <c r="T141" s="158">
        <f>INDEX('Budget by Source'!$A$6:$I$335,MATCH('Payment by Source'!$A141,'Budget by Source'!$A$6:$A$335,0),MATCH(T$3,'Budget by Source'!$A$5:$I$5,0))-(ROUND(INDEX('Budget by Source'!$A$6:$I$335,MATCH('Payment by Source'!$A141,'Budget by Source'!$A$6:$A$335,0),MATCH(T$3,'Budget by Source'!$A$5:$I$5,0))/10,0)*10)</f>
        <v>-3</v>
      </c>
      <c r="U141" s="159">
        <f>INDEX('Budget by Source'!$A$6:$I$335,MATCH('Payment by Source'!$A141,'Budget by Source'!$A$6:$A$335,0),MATCH(U$3,'Budget by Source'!$A$5:$I$5,0))</f>
        <v>2367001</v>
      </c>
      <c r="V141" s="156">
        <f t="shared" si="7"/>
        <v>236700</v>
      </c>
      <c r="W141" s="156">
        <f t="shared" si="8"/>
        <v>2367000</v>
      </c>
    </row>
    <row r="142" spans="1:23" x14ac:dyDescent="0.2">
      <c r="A142" s="23" t="str">
        <f>Data!B138</f>
        <v>2977</v>
      </c>
      <c r="B142" s="21" t="str">
        <f>INDEX(Data[],MATCH($A142,Data[Dist],0),MATCH(B$5,Data[#Headers],0))</f>
        <v>Highland</v>
      </c>
      <c r="C142" s="22">
        <f>IF(Notes!$B$2="June",ROUND('Budget by Source'!C142/10,0)+P142,ROUND('Budget by Source'!C142/10,0))</f>
        <v>12066</v>
      </c>
      <c r="D142" s="22">
        <f>IF(Notes!$B$2="June",ROUND('Budget by Source'!D142/10,0)+Q142,ROUND('Budget by Source'!D142/10,0))</f>
        <v>38185</v>
      </c>
      <c r="E142" s="22">
        <f>IF(Notes!$B$2="June",ROUND('Budget by Source'!E142/10,0)+R142,ROUND('Budget by Source'!E142/10,0))</f>
        <v>4502</v>
      </c>
      <c r="F142" s="22">
        <f>IF(Notes!$B$2="June",ROUND('Budget by Source'!F142/10,0)+S142,ROUND('Budget by Source'!F142/10,0))</f>
        <v>4032</v>
      </c>
      <c r="G142" s="22">
        <f>IF(Notes!$B$2="June",ROUND('Budget by Source'!G142/10,0)+T142,ROUND('Budget by Source'!G142/10,0))</f>
        <v>20347</v>
      </c>
      <c r="H142" s="22">
        <f t="shared" si="6"/>
        <v>249849</v>
      </c>
      <c r="I142" s="22">
        <f>INDEX(Data[],MATCH($A142,Data[Dist],0),MATCH(I$5,Data[#Headers],0))</f>
        <v>328981</v>
      </c>
      <c r="K142" s="70">
        <f>INDEX('Payment Total'!$A$7:$H$336,MATCH('Payment by Source'!$A142,'Payment Total'!$A$7:$A$336,0),6)-I142</f>
        <v>0</v>
      </c>
      <c r="P142" s="158">
        <f>INDEX('Budget by Source'!$A$6:$I$335,MATCH('Payment by Source'!$A142,'Budget by Source'!$A$6:$A$335,0),MATCH(P$3,'Budget by Source'!$A$5:$I$5,0))-(ROUND(INDEX('Budget by Source'!$A$6:$I$335,MATCH('Payment by Source'!$A142,'Budget by Source'!$A$6:$A$335,0),MATCH(P$3,'Budget by Source'!$A$5:$I$5,0))/10,0)*10)</f>
        <v>1</v>
      </c>
      <c r="Q142" s="158">
        <f>INDEX('Budget by Source'!$A$6:$I$335,MATCH('Payment by Source'!$A142,'Budget by Source'!$A$6:$A$335,0),MATCH(Q$3,'Budget by Source'!$A$5:$I$5,0))-(ROUND(INDEX('Budget by Source'!$A$6:$I$335,MATCH('Payment by Source'!$A142,'Budget by Source'!$A$6:$A$335,0),MATCH(Q$3,'Budget by Source'!$A$5:$I$5,0))/10,0)*10)</f>
        <v>-1</v>
      </c>
      <c r="R142" s="158">
        <f>INDEX('Budget by Source'!$A$6:$I$335,MATCH('Payment by Source'!$A142,'Budget by Source'!$A$6:$A$335,0),MATCH(R$3,'Budget by Source'!$A$5:$I$5,0))-(ROUND(INDEX('Budget by Source'!$A$6:$I$335,MATCH('Payment by Source'!$A142,'Budget by Source'!$A$6:$A$335,0),MATCH(R$3,'Budget by Source'!$A$5:$I$5,0))/10,0)*10)</f>
        <v>0</v>
      </c>
      <c r="S142" s="158">
        <f>INDEX('Budget by Source'!$A$6:$I$335,MATCH('Payment by Source'!$A142,'Budget by Source'!$A$6:$A$335,0),MATCH(S$3,'Budget by Source'!$A$5:$I$5,0))-(ROUND(INDEX('Budget by Source'!$A$6:$I$335,MATCH('Payment by Source'!$A142,'Budget by Source'!$A$6:$A$335,0),MATCH(S$3,'Budget by Source'!$A$5:$I$5,0))/10,0)*10)</f>
        <v>-2</v>
      </c>
      <c r="T142" s="158">
        <f>INDEX('Budget by Source'!$A$6:$I$335,MATCH('Payment by Source'!$A142,'Budget by Source'!$A$6:$A$335,0),MATCH(T$3,'Budget by Source'!$A$5:$I$5,0))-(ROUND(INDEX('Budget by Source'!$A$6:$I$335,MATCH('Payment by Source'!$A142,'Budget by Source'!$A$6:$A$335,0),MATCH(T$3,'Budget by Source'!$A$5:$I$5,0))/10,0)*10)</f>
        <v>4</v>
      </c>
      <c r="U142" s="159">
        <f>INDEX('Budget by Source'!$A$6:$I$335,MATCH('Payment by Source'!$A142,'Budget by Source'!$A$6:$A$335,0),MATCH(U$3,'Budget by Source'!$A$5:$I$5,0))</f>
        <v>2508800</v>
      </c>
      <c r="V142" s="156">
        <f t="shared" si="7"/>
        <v>250880</v>
      </c>
      <c r="W142" s="156">
        <f t="shared" si="8"/>
        <v>2508800</v>
      </c>
    </row>
    <row r="143" spans="1:23" x14ac:dyDescent="0.2">
      <c r="A143" s="23" t="str">
        <f>Data!B139</f>
        <v>2988</v>
      </c>
      <c r="B143" s="21" t="str">
        <f>INDEX(Data[],MATCH($A143,Data[Dist],0),MATCH(B$5,Data[#Headers],0))</f>
        <v>Hinton</v>
      </c>
      <c r="C143" s="22">
        <f>IF(Notes!$B$2="June",ROUND('Budget by Source'!C143/10,0)+P143,ROUND('Budget by Source'!C143/10,0))</f>
        <v>10393</v>
      </c>
      <c r="D143" s="22">
        <f>IF(Notes!$B$2="June",ROUND('Budget by Source'!D143/10,0)+Q143,ROUND('Budget by Source'!D143/10,0))</f>
        <v>32148</v>
      </c>
      <c r="E143" s="22">
        <f>IF(Notes!$B$2="June",ROUND('Budget by Source'!E143/10,0)+R143,ROUND('Budget by Source'!E143/10,0))</f>
        <v>3886</v>
      </c>
      <c r="F143" s="22">
        <f>IF(Notes!$B$2="June",ROUND('Budget by Source'!F143/10,0)+S143,ROUND('Budget by Source'!F143/10,0))</f>
        <v>3613</v>
      </c>
      <c r="G143" s="22">
        <f>IF(Notes!$B$2="June",ROUND('Budget by Source'!G143/10,0)+T143,ROUND('Budget by Source'!G143/10,0))</f>
        <v>17391</v>
      </c>
      <c r="H143" s="22">
        <f t="shared" si="6"/>
        <v>224466</v>
      </c>
      <c r="I143" s="22">
        <f>INDEX(Data[],MATCH($A143,Data[Dist],0),MATCH(I$5,Data[#Headers],0))</f>
        <v>291897</v>
      </c>
      <c r="K143" s="70">
        <f>INDEX('Payment Total'!$A$7:$H$336,MATCH('Payment by Source'!$A143,'Payment Total'!$A$7:$A$336,0),6)-I143</f>
        <v>0</v>
      </c>
      <c r="P143" s="158">
        <f>INDEX('Budget by Source'!$A$6:$I$335,MATCH('Payment by Source'!$A143,'Budget by Source'!$A$6:$A$335,0),MATCH(P$3,'Budget by Source'!$A$5:$I$5,0))-(ROUND(INDEX('Budget by Source'!$A$6:$I$335,MATCH('Payment by Source'!$A143,'Budget by Source'!$A$6:$A$335,0),MATCH(P$3,'Budget by Source'!$A$5:$I$5,0))/10,0)*10)</f>
        <v>4</v>
      </c>
      <c r="Q143" s="158">
        <f>INDEX('Budget by Source'!$A$6:$I$335,MATCH('Payment by Source'!$A143,'Budget by Source'!$A$6:$A$335,0),MATCH(Q$3,'Budget by Source'!$A$5:$I$5,0))-(ROUND(INDEX('Budget by Source'!$A$6:$I$335,MATCH('Payment by Source'!$A143,'Budget by Source'!$A$6:$A$335,0),MATCH(Q$3,'Budget by Source'!$A$5:$I$5,0))/10,0)*10)</f>
        <v>-2</v>
      </c>
      <c r="R143" s="158">
        <f>INDEX('Budget by Source'!$A$6:$I$335,MATCH('Payment by Source'!$A143,'Budget by Source'!$A$6:$A$335,0),MATCH(R$3,'Budget by Source'!$A$5:$I$5,0))-(ROUND(INDEX('Budget by Source'!$A$6:$I$335,MATCH('Payment by Source'!$A143,'Budget by Source'!$A$6:$A$335,0),MATCH(R$3,'Budget by Source'!$A$5:$I$5,0))/10,0)*10)</f>
        <v>0</v>
      </c>
      <c r="S143" s="158">
        <f>INDEX('Budget by Source'!$A$6:$I$335,MATCH('Payment by Source'!$A143,'Budget by Source'!$A$6:$A$335,0),MATCH(S$3,'Budget by Source'!$A$5:$I$5,0))-(ROUND(INDEX('Budget by Source'!$A$6:$I$335,MATCH('Payment by Source'!$A143,'Budget by Source'!$A$6:$A$335,0),MATCH(S$3,'Budget by Source'!$A$5:$I$5,0))/10,0)*10)</f>
        <v>4</v>
      </c>
      <c r="T143" s="158">
        <f>INDEX('Budget by Source'!$A$6:$I$335,MATCH('Payment by Source'!$A143,'Budget by Source'!$A$6:$A$335,0),MATCH(T$3,'Budget by Source'!$A$5:$I$5,0))-(ROUND(INDEX('Budget by Source'!$A$6:$I$335,MATCH('Payment by Source'!$A143,'Budget by Source'!$A$6:$A$335,0),MATCH(T$3,'Budget by Source'!$A$5:$I$5,0))/10,0)*10)</f>
        <v>-1</v>
      </c>
      <c r="U143" s="159">
        <f>INDEX('Budget by Source'!$A$6:$I$335,MATCH('Payment by Source'!$A143,'Budget by Source'!$A$6:$A$335,0),MATCH(U$3,'Budget by Source'!$A$5:$I$5,0))</f>
        <v>2253458</v>
      </c>
      <c r="V143" s="156">
        <f t="shared" si="7"/>
        <v>225346</v>
      </c>
      <c r="W143" s="156">
        <f t="shared" si="8"/>
        <v>2253460</v>
      </c>
    </row>
    <row r="144" spans="1:23" x14ac:dyDescent="0.2">
      <c r="A144" s="23" t="str">
        <f>Data!B140</f>
        <v>3029</v>
      </c>
      <c r="B144" s="21" t="str">
        <f>INDEX(Data[],MATCH($A144,Data[Dist],0),MATCH(B$5,Data[#Headers],0))</f>
        <v>Howard-Winneshiek</v>
      </c>
      <c r="C144" s="22">
        <f>IF(Notes!$B$2="June",ROUND('Budget by Source'!C144/10,0)+P144,ROUND('Budget by Source'!C144/10,0))</f>
        <v>18767</v>
      </c>
      <c r="D144" s="22">
        <f>IF(Notes!$B$2="June",ROUND('Budget by Source'!D144/10,0)+Q144,ROUND('Budget by Source'!D144/10,0))</f>
        <v>71257</v>
      </c>
      <c r="E144" s="22">
        <f>IF(Notes!$B$2="June",ROUND('Budget by Source'!E144/10,0)+R144,ROUND('Budget by Source'!E144/10,0))</f>
        <v>7522</v>
      </c>
      <c r="F144" s="22">
        <f>IF(Notes!$B$2="June",ROUND('Budget by Source'!F144/10,0)+S144,ROUND('Budget by Source'!F144/10,0))</f>
        <v>7669</v>
      </c>
      <c r="G144" s="22">
        <f>IF(Notes!$B$2="June",ROUND('Budget by Source'!G144/10,0)+T144,ROUND('Budget by Source'!G144/10,0))</f>
        <v>38611</v>
      </c>
      <c r="H144" s="22">
        <f t="shared" si="6"/>
        <v>475158</v>
      </c>
      <c r="I144" s="22">
        <f>INDEX(Data[],MATCH($A144,Data[Dist],0),MATCH(I$5,Data[#Headers],0))</f>
        <v>618984</v>
      </c>
      <c r="K144" s="70">
        <f>INDEX('Payment Total'!$A$7:$H$336,MATCH('Payment by Source'!$A144,'Payment Total'!$A$7:$A$336,0),6)-I144</f>
        <v>0</v>
      </c>
      <c r="P144" s="158">
        <f>INDEX('Budget by Source'!$A$6:$I$335,MATCH('Payment by Source'!$A144,'Budget by Source'!$A$6:$A$335,0),MATCH(P$3,'Budget by Source'!$A$5:$I$5,0))-(ROUND(INDEX('Budget by Source'!$A$6:$I$335,MATCH('Payment by Source'!$A144,'Budget by Source'!$A$6:$A$335,0),MATCH(P$3,'Budget by Source'!$A$5:$I$5,0))/10,0)*10)</f>
        <v>-1</v>
      </c>
      <c r="Q144" s="158">
        <f>INDEX('Budget by Source'!$A$6:$I$335,MATCH('Payment by Source'!$A144,'Budget by Source'!$A$6:$A$335,0),MATCH(Q$3,'Budget by Source'!$A$5:$I$5,0))-(ROUND(INDEX('Budget by Source'!$A$6:$I$335,MATCH('Payment by Source'!$A144,'Budget by Source'!$A$6:$A$335,0),MATCH(Q$3,'Budget by Source'!$A$5:$I$5,0))/10,0)*10)</f>
        <v>-1</v>
      </c>
      <c r="R144" s="158">
        <f>INDEX('Budget by Source'!$A$6:$I$335,MATCH('Payment by Source'!$A144,'Budget by Source'!$A$6:$A$335,0),MATCH(R$3,'Budget by Source'!$A$5:$I$5,0))-(ROUND(INDEX('Budget by Source'!$A$6:$I$335,MATCH('Payment by Source'!$A144,'Budget by Source'!$A$6:$A$335,0),MATCH(R$3,'Budget by Source'!$A$5:$I$5,0))/10,0)*10)</f>
        <v>-5</v>
      </c>
      <c r="S144" s="158">
        <f>INDEX('Budget by Source'!$A$6:$I$335,MATCH('Payment by Source'!$A144,'Budget by Source'!$A$6:$A$335,0),MATCH(S$3,'Budget by Source'!$A$5:$I$5,0))-(ROUND(INDEX('Budget by Source'!$A$6:$I$335,MATCH('Payment by Source'!$A144,'Budget by Source'!$A$6:$A$335,0),MATCH(S$3,'Budget by Source'!$A$5:$I$5,0))/10,0)*10)</f>
        <v>3</v>
      </c>
      <c r="T144" s="158">
        <f>INDEX('Budget by Source'!$A$6:$I$335,MATCH('Payment by Source'!$A144,'Budget by Source'!$A$6:$A$335,0),MATCH(T$3,'Budget by Source'!$A$5:$I$5,0))-(ROUND(INDEX('Budget by Source'!$A$6:$I$335,MATCH('Payment by Source'!$A144,'Budget by Source'!$A$6:$A$335,0),MATCH(T$3,'Budget by Source'!$A$5:$I$5,0))/10,0)*10)</f>
        <v>-4</v>
      </c>
      <c r="U144" s="159">
        <f>INDEX('Budget by Source'!$A$6:$I$335,MATCH('Payment by Source'!$A144,'Budget by Source'!$A$6:$A$335,0),MATCH(U$3,'Budget by Source'!$A$5:$I$5,0))</f>
        <v>4770846</v>
      </c>
      <c r="V144" s="156">
        <f t="shared" si="7"/>
        <v>477085</v>
      </c>
      <c r="W144" s="156">
        <f t="shared" si="8"/>
        <v>4770850</v>
      </c>
    </row>
    <row r="145" spans="1:23" x14ac:dyDescent="0.2">
      <c r="A145" s="23" t="str">
        <f>Data!B141</f>
        <v>3033</v>
      </c>
      <c r="B145" s="21" t="str">
        <f>INDEX(Data[],MATCH($A145,Data[Dist],0),MATCH(B$5,Data[#Headers],0))</f>
        <v>Hubbard-Radcliffe</v>
      </c>
      <c r="C145" s="22">
        <f>IF(Notes!$B$2="June",ROUND('Budget by Source'!C145/10,0)+P145,ROUND('Budget by Source'!C145/10,0))</f>
        <v>7038</v>
      </c>
      <c r="D145" s="22">
        <f>IF(Notes!$B$2="June",ROUND('Budget by Source'!D145/10,0)+Q145,ROUND('Budget by Source'!D145/10,0))</f>
        <v>26165</v>
      </c>
      <c r="E145" s="22">
        <f>IF(Notes!$B$2="June",ROUND('Budget by Source'!E145/10,0)+R145,ROUND('Budget by Source'!E145/10,0))</f>
        <v>2589</v>
      </c>
      <c r="F145" s="22">
        <f>IF(Notes!$B$2="June",ROUND('Budget by Source'!F145/10,0)+S145,ROUND('Budget by Source'!F145/10,0))</f>
        <v>2230</v>
      </c>
      <c r="G145" s="22">
        <f>IF(Notes!$B$2="June",ROUND('Budget by Source'!G145/10,0)+T145,ROUND('Budget by Source'!G145/10,0))</f>
        <v>14853</v>
      </c>
      <c r="H145" s="22">
        <f t="shared" si="6"/>
        <v>138455</v>
      </c>
      <c r="I145" s="22">
        <f>INDEX(Data[],MATCH($A145,Data[Dist],0),MATCH(I$5,Data[#Headers],0))</f>
        <v>191330</v>
      </c>
      <c r="K145" s="70">
        <f>INDEX('Payment Total'!$A$7:$H$336,MATCH('Payment by Source'!$A145,'Payment Total'!$A$7:$A$336,0),6)-I145</f>
        <v>0</v>
      </c>
      <c r="P145" s="158">
        <f>INDEX('Budget by Source'!$A$6:$I$335,MATCH('Payment by Source'!$A145,'Budget by Source'!$A$6:$A$335,0),MATCH(P$3,'Budget by Source'!$A$5:$I$5,0))-(ROUND(INDEX('Budget by Source'!$A$6:$I$335,MATCH('Payment by Source'!$A145,'Budget by Source'!$A$6:$A$335,0),MATCH(P$3,'Budget by Source'!$A$5:$I$5,0))/10,0)*10)</f>
        <v>0</v>
      </c>
      <c r="Q145" s="158">
        <f>INDEX('Budget by Source'!$A$6:$I$335,MATCH('Payment by Source'!$A145,'Budget by Source'!$A$6:$A$335,0),MATCH(Q$3,'Budget by Source'!$A$5:$I$5,0))-(ROUND(INDEX('Budget by Source'!$A$6:$I$335,MATCH('Payment by Source'!$A145,'Budget by Source'!$A$6:$A$335,0),MATCH(Q$3,'Budget by Source'!$A$5:$I$5,0))/10,0)*10)</f>
        <v>3</v>
      </c>
      <c r="R145" s="158">
        <f>INDEX('Budget by Source'!$A$6:$I$335,MATCH('Payment by Source'!$A145,'Budget by Source'!$A$6:$A$335,0),MATCH(R$3,'Budget by Source'!$A$5:$I$5,0))-(ROUND(INDEX('Budget by Source'!$A$6:$I$335,MATCH('Payment by Source'!$A145,'Budget by Source'!$A$6:$A$335,0),MATCH(R$3,'Budget by Source'!$A$5:$I$5,0))/10,0)*10)</f>
        <v>-2</v>
      </c>
      <c r="S145" s="158">
        <f>INDEX('Budget by Source'!$A$6:$I$335,MATCH('Payment by Source'!$A145,'Budget by Source'!$A$6:$A$335,0),MATCH(S$3,'Budget by Source'!$A$5:$I$5,0))-(ROUND(INDEX('Budget by Source'!$A$6:$I$335,MATCH('Payment by Source'!$A145,'Budget by Source'!$A$6:$A$335,0),MATCH(S$3,'Budget by Source'!$A$5:$I$5,0))/10,0)*10)</f>
        <v>0</v>
      </c>
      <c r="T145" s="158">
        <f>INDEX('Budget by Source'!$A$6:$I$335,MATCH('Payment by Source'!$A145,'Budget by Source'!$A$6:$A$335,0),MATCH(T$3,'Budget by Source'!$A$5:$I$5,0))-(ROUND(INDEX('Budget by Source'!$A$6:$I$335,MATCH('Payment by Source'!$A145,'Budget by Source'!$A$6:$A$335,0),MATCH(T$3,'Budget by Source'!$A$5:$I$5,0))/10,0)*10)</f>
        <v>-5</v>
      </c>
      <c r="U145" s="159">
        <f>INDEX('Budget by Source'!$A$6:$I$335,MATCH('Payment by Source'!$A145,'Budget by Source'!$A$6:$A$335,0),MATCH(U$3,'Budget by Source'!$A$5:$I$5,0))</f>
        <v>1391926</v>
      </c>
      <c r="V145" s="156">
        <f t="shared" si="7"/>
        <v>139193</v>
      </c>
      <c r="W145" s="156">
        <f t="shared" si="8"/>
        <v>1391930</v>
      </c>
    </row>
    <row r="146" spans="1:23" x14ac:dyDescent="0.2">
      <c r="A146" s="23" t="str">
        <f>Data!B142</f>
        <v>3042</v>
      </c>
      <c r="B146" s="21" t="str">
        <f>INDEX(Data[],MATCH($A146,Data[Dist],0),MATCH(B$5,Data[#Headers],0))</f>
        <v>Hudson</v>
      </c>
      <c r="C146" s="22">
        <f>IF(Notes!$B$2="June",ROUND('Budget by Source'!C146/10,0)+P146,ROUND('Budget by Source'!C146/10,0))</f>
        <v>9384</v>
      </c>
      <c r="D146" s="22">
        <f>IF(Notes!$B$2="June",ROUND('Budget by Source'!D146/10,0)+Q146,ROUND('Budget by Source'!D146/10,0))</f>
        <v>42426</v>
      </c>
      <c r="E146" s="22">
        <f>IF(Notes!$B$2="June",ROUND('Budget by Source'!E146/10,0)+R146,ROUND('Budget by Source'!E146/10,0))</f>
        <v>3744</v>
      </c>
      <c r="F146" s="22">
        <f>IF(Notes!$B$2="June",ROUND('Budget by Source'!F146/10,0)+S146,ROUND('Budget by Source'!F146/10,0))</f>
        <v>4799</v>
      </c>
      <c r="G146" s="22">
        <f>IF(Notes!$B$2="June",ROUND('Budget by Source'!G146/10,0)+T146,ROUND('Budget by Source'!G146/10,0))</f>
        <v>22105</v>
      </c>
      <c r="H146" s="22">
        <f t="shared" si="6"/>
        <v>354903</v>
      </c>
      <c r="I146" s="22">
        <f>INDEX(Data[],MATCH($A146,Data[Dist],0),MATCH(I$5,Data[#Headers],0))</f>
        <v>437361</v>
      </c>
      <c r="K146" s="70">
        <f>INDEX('Payment Total'!$A$7:$H$336,MATCH('Payment by Source'!$A146,'Payment Total'!$A$7:$A$336,0),6)-I146</f>
        <v>0</v>
      </c>
      <c r="P146" s="158">
        <f>INDEX('Budget by Source'!$A$6:$I$335,MATCH('Payment by Source'!$A146,'Budget by Source'!$A$6:$A$335,0),MATCH(P$3,'Budget by Source'!$A$5:$I$5,0))-(ROUND(INDEX('Budget by Source'!$A$6:$I$335,MATCH('Payment by Source'!$A146,'Budget by Source'!$A$6:$A$335,0),MATCH(P$3,'Budget by Source'!$A$5:$I$5,0))/10,0)*10)</f>
        <v>0</v>
      </c>
      <c r="Q146" s="158">
        <f>INDEX('Budget by Source'!$A$6:$I$335,MATCH('Payment by Source'!$A146,'Budget by Source'!$A$6:$A$335,0),MATCH(Q$3,'Budget by Source'!$A$5:$I$5,0))-(ROUND(INDEX('Budget by Source'!$A$6:$I$335,MATCH('Payment by Source'!$A146,'Budget by Source'!$A$6:$A$335,0),MATCH(Q$3,'Budget by Source'!$A$5:$I$5,0))/10,0)*10)</f>
        <v>-4</v>
      </c>
      <c r="R146" s="158">
        <f>INDEX('Budget by Source'!$A$6:$I$335,MATCH('Payment by Source'!$A146,'Budget by Source'!$A$6:$A$335,0),MATCH(R$3,'Budget by Source'!$A$5:$I$5,0))-(ROUND(INDEX('Budget by Source'!$A$6:$I$335,MATCH('Payment by Source'!$A146,'Budget by Source'!$A$6:$A$335,0),MATCH(R$3,'Budget by Source'!$A$5:$I$5,0))/10,0)*10)</f>
        <v>4</v>
      </c>
      <c r="S146" s="158">
        <f>INDEX('Budget by Source'!$A$6:$I$335,MATCH('Payment by Source'!$A146,'Budget by Source'!$A$6:$A$335,0),MATCH(S$3,'Budget by Source'!$A$5:$I$5,0))-(ROUND(INDEX('Budget by Source'!$A$6:$I$335,MATCH('Payment by Source'!$A146,'Budget by Source'!$A$6:$A$335,0),MATCH(S$3,'Budget by Source'!$A$5:$I$5,0))/10,0)*10)</f>
        <v>-4</v>
      </c>
      <c r="T146" s="158">
        <f>INDEX('Budget by Source'!$A$6:$I$335,MATCH('Payment by Source'!$A146,'Budget by Source'!$A$6:$A$335,0),MATCH(T$3,'Budget by Source'!$A$5:$I$5,0))-(ROUND(INDEX('Budget by Source'!$A$6:$I$335,MATCH('Payment by Source'!$A146,'Budget by Source'!$A$6:$A$335,0),MATCH(T$3,'Budget by Source'!$A$5:$I$5,0))/10,0)*10)</f>
        <v>1</v>
      </c>
      <c r="U146" s="159">
        <f>INDEX('Budget by Source'!$A$6:$I$335,MATCH('Payment by Source'!$A146,'Budget by Source'!$A$6:$A$335,0),MATCH(U$3,'Budget by Source'!$A$5:$I$5,0))</f>
        <v>3560266</v>
      </c>
      <c r="V146" s="156">
        <f t="shared" si="7"/>
        <v>356027</v>
      </c>
      <c r="W146" s="156">
        <f t="shared" si="8"/>
        <v>3560270</v>
      </c>
    </row>
    <row r="147" spans="1:23" x14ac:dyDescent="0.2">
      <c r="A147" s="23" t="str">
        <f>Data!B143</f>
        <v>3060</v>
      </c>
      <c r="B147" s="21" t="str">
        <f>INDEX(Data[],MATCH($A147,Data[Dist],0),MATCH(B$5,Data[#Headers],0))</f>
        <v>Humboldt</v>
      </c>
      <c r="C147" s="22">
        <f>IF(Notes!$B$2="June",ROUND('Budget by Source'!C147/10,0)+P147,ROUND('Budget by Source'!C147/10,0))</f>
        <v>22122</v>
      </c>
      <c r="D147" s="22">
        <f>IF(Notes!$B$2="June",ROUND('Budget by Source'!D147/10,0)+Q147,ROUND('Budget by Source'!D147/10,0))</f>
        <v>71598</v>
      </c>
      <c r="E147" s="22">
        <f>IF(Notes!$B$2="June",ROUND('Budget by Source'!E147/10,0)+R147,ROUND('Budget by Source'!E147/10,0))</f>
        <v>8708</v>
      </c>
      <c r="F147" s="22">
        <f>IF(Notes!$B$2="June",ROUND('Budget by Source'!F147/10,0)+S147,ROUND('Budget by Source'!F147/10,0))</f>
        <v>7837</v>
      </c>
      <c r="G147" s="22">
        <f>IF(Notes!$B$2="June",ROUND('Budget by Source'!G147/10,0)+T147,ROUND('Budget by Source'!G147/10,0))</f>
        <v>39283</v>
      </c>
      <c r="H147" s="22">
        <f t="shared" si="6"/>
        <v>552455</v>
      </c>
      <c r="I147" s="22">
        <f>INDEX(Data[],MATCH($A147,Data[Dist],0),MATCH(I$5,Data[#Headers],0))</f>
        <v>702003</v>
      </c>
      <c r="K147" s="70">
        <f>INDEX('Payment Total'!$A$7:$H$336,MATCH('Payment by Source'!$A147,'Payment Total'!$A$7:$A$336,0),6)-I147</f>
        <v>0</v>
      </c>
      <c r="P147" s="158">
        <f>INDEX('Budget by Source'!$A$6:$I$335,MATCH('Payment by Source'!$A147,'Budget by Source'!$A$6:$A$335,0),MATCH(P$3,'Budget by Source'!$A$5:$I$5,0))-(ROUND(INDEX('Budget by Source'!$A$6:$I$335,MATCH('Payment by Source'!$A147,'Budget by Source'!$A$6:$A$335,0),MATCH(P$3,'Budget by Source'!$A$5:$I$5,0))/10,0)*10)</f>
        <v>3</v>
      </c>
      <c r="Q147" s="158">
        <f>INDEX('Budget by Source'!$A$6:$I$335,MATCH('Payment by Source'!$A147,'Budget by Source'!$A$6:$A$335,0),MATCH(Q$3,'Budget by Source'!$A$5:$I$5,0))-(ROUND(INDEX('Budget by Source'!$A$6:$I$335,MATCH('Payment by Source'!$A147,'Budget by Source'!$A$6:$A$335,0),MATCH(Q$3,'Budget by Source'!$A$5:$I$5,0))/10,0)*10)</f>
        <v>-1</v>
      </c>
      <c r="R147" s="158">
        <f>INDEX('Budget by Source'!$A$6:$I$335,MATCH('Payment by Source'!$A147,'Budget by Source'!$A$6:$A$335,0),MATCH(R$3,'Budget by Source'!$A$5:$I$5,0))-(ROUND(INDEX('Budget by Source'!$A$6:$I$335,MATCH('Payment by Source'!$A147,'Budget by Source'!$A$6:$A$335,0),MATCH(R$3,'Budget by Source'!$A$5:$I$5,0))/10,0)*10)</f>
        <v>4</v>
      </c>
      <c r="S147" s="158">
        <f>INDEX('Budget by Source'!$A$6:$I$335,MATCH('Payment by Source'!$A147,'Budget by Source'!$A$6:$A$335,0),MATCH(S$3,'Budget by Source'!$A$5:$I$5,0))-(ROUND(INDEX('Budget by Source'!$A$6:$I$335,MATCH('Payment by Source'!$A147,'Budget by Source'!$A$6:$A$335,0),MATCH(S$3,'Budget by Source'!$A$5:$I$5,0))/10,0)*10)</f>
        <v>0</v>
      </c>
      <c r="T147" s="158">
        <f>INDEX('Budget by Source'!$A$6:$I$335,MATCH('Payment by Source'!$A147,'Budget by Source'!$A$6:$A$335,0),MATCH(T$3,'Budget by Source'!$A$5:$I$5,0))-(ROUND(INDEX('Budget by Source'!$A$6:$I$335,MATCH('Payment by Source'!$A147,'Budget by Source'!$A$6:$A$335,0),MATCH(T$3,'Budget by Source'!$A$5:$I$5,0))/10,0)*10)</f>
        <v>2</v>
      </c>
      <c r="U147" s="159">
        <f>INDEX('Budget by Source'!$A$6:$I$335,MATCH('Payment by Source'!$A147,'Budget by Source'!$A$6:$A$335,0),MATCH(U$3,'Budget by Source'!$A$5:$I$5,0))</f>
        <v>5544676</v>
      </c>
      <c r="V147" s="156">
        <f t="shared" si="7"/>
        <v>554468</v>
      </c>
      <c r="W147" s="156">
        <f t="shared" si="8"/>
        <v>5544680</v>
      </c>
    </row>
    <row r="148" spans="1:23" x14ac:dyDescent="0.2">
      <c r="A148" s="23" t="str">
        <f>Data!B144</f>
        <v>3105</v>
      </c>
      <c r="B148" s="21" t="str">
        <f>INDEX(Data[],MATCH($A148,Data[Dist],0),MATCH(B$5,Data[#Headers],0))</f>
        <v>Independence</v>
      </c>
      <c r="C148" s="22">
        <f>IF(Notes!$B$2="June",ROUND('Budget by Source'!C148/10,0)+P148,ROUND('Budget by Source'!C148/10,0))</f>
        <v>32506</v>
      </c>
      <c r="D148" s="22">
        <f>IF(Notes!$B$2="June",ROUND('Budget by Source'!D148/10,0)+Q148,ROUND('Budget by Source'!D148/10,0))</f>
        <v>86799</v>
      </c>
      <c r="E148" s="22">
        <f>IF(Notes!$B$2="June",ROUND('Budget by Source'!E148/10,0)+R148,ROUND('Budget by Source'!E148/10,0))</f>
        <v>9666</v>
      </c>
      <c r="F148" s="22">
        <f>IF(Notes!$B$2="June",ROUND('Budget by Source'!F148/10,0)+S148,ROUND('Budget by Source'!F148/10,0))</f>
        <v>10213</v>
      </c>
      <c r="G148" s="22">
        <f>IF(Notes!$B$2="June",ROUND('Budget by Source'!G148/10,0)+T148,ROUND('Budget by Source'!G148/10,0))</f>
        <v>46704</v>
      </c>
      <c r="H148" s="22">
        <f t="shared" si="6"/>
        <v>716798</v>
      </c>
      <c r="I148" s="22">
        <f>INDEX(Data[],MATCH($A148,Data[Dist],0),MATCH(I$5,Data[#Headers],0))</f>
        <v>902686</v>
      </c>
      <c r="K148" s="70">
        <f>INDEX('Payment Total'!$A$7:$H$336,MATCH('Payment by Source'!$A148,'Payment Total'!$A$7:$A$336,0),6)-I148</f>
        <v>0</v>
      </c>
      <c r="P148" s="158">
        <f>INDEX('Budget by Source'!$A$6:$I$335,MATCH('Payment by Source'!$A148,'Budget by Source'!$A$6:$A$335,0),MATCH(P$3,'Budget by Source'!$A$5:$I$5,0))-(ROUND(INDEX('Budget by Source'!$A$6:$I$335,MATCH('Payment by Source'!$A148,'Budget by Source'!$A$6:$A$335,0),MATCH(P$3,'Budget by Source'!$A$5:$I$5,0))/10,0)*10)</f>
        <v>-3</v>
      </c>
      <c r="Q148" s="158">
        <f>INDEX('Budget by Source'!$A$6:$I$335,MATCH('Payment by Source'!$A148,'Budget by Source'!$A$6:$A$335,0),MATCH(Q$3,'Budget by Source'!$A$5:$I$5,0))-(ROUND(INDEX('Budget by Source'!$A$6:$I$335,MATCH('Payment by Source'!$A148,'Budget by Source'!$A$6:$A$335,0),MATCH(Q$3,'Budget by Source'!$A$5:$I$5,0))/10,0)*10)</f>
        <v>-1</v>
      </c>
      <c r="R148" s="158">
        <f>INDEX('Budget by Source'!$A$6:$I$335,MATCH('Payment by Source'!$A148,'Budget by Source'!$A$6:$A$335,0),MATCH(R$3,'Budget by Source'!$A$5:$I$5,0))-(ROUND(INDEX('Budget by Source'!$A$6:$I$335,MATCH('Payment by Source'!$A148,'Budget by Source'!$A$6:$A$335,0),MATCH(R$3,'Budget by Source'!$A$5:$I$5,0))/10,0)*10)</f>
        <v>-3</v>
      </c>
      <c r="S148" s="158">
        <f>INDEX('Budget by Source'!$A$6:$I$335,MATCH('Payment by Source'!$A148,'Budget by Source'!$A$6:$A$335,0),MATCH(S$3,'Budget by Source'!$A$5:$I$5,0))-(ROUND(INDEX('Budget by Source'!$A$6:$I$335,MATCH('Payment by Source'!$A148,'Budget by Source'!$A$6:$A$335,0),MATCH(S$3,'Budget by Source'!$A$5:$I$5,0))/10,0)*10)</f>
        <v>-4</v>
      </c>
      <c r="T148" s="158">
        <f>INDEX('Budget by Source'!$A$6:$I$335,MATCH('Payment by Source'!$A148,'Budget by Source'!$A$6:$A$335,0),MATCH(T$3,'Budget by Source'!$A$5:$I$5,0))-(ROUND(INDEX('Budget by Source'!$A$6:$I$335,MATCH('Payment by Source'!$A148,'Budget by Source'!$A$6:$A$335,0),MATCH(T$3,'Budget by Source'!$A$5:$I$5,0))/10,0)*10)</f>
        <v>-2</v>
      </c>
      <c r="U148" s="159">
        <f>INDEX('Budget by Source'!$A$6:$I$335,MATCH('Payment by Source'!$A148,'Budget by Source'!$A$6:$A$335,0),MATCH(U$3,'Budget by Source'!$A$5:$I$5,0))</f>
        <v>7191687</v>
      </c>
      <c r="V148" s="156">
        <f t="shared" si="7"/>
        <v>719169</v>
      </c>
      <c r="W148" s="156">
        <f t="shared" si="8"/>
        <v>7191690</v>
      </c>
    </row>
    <row r="149" spans="1:23" x14ac:dyDescent="0.2">
      <c r="A149" s="23" t="str">
        <f>Data!B145</f>
        <v>3114</v>
      </c>
      <c r="B149" s="21" t="str">
        <f>INDEX(Data[],MATCH($A149,Data[Dist],0),MATCH(B$5,Data[#Headers],0))</f>
        <v>Indianola</v>
      </c>
      <c r="C149" s="22">
        <f>IF(Notes!$B$2="June",ROUND('Budget by Source'!C149/10,0)+P149,ROUND('Budget by Source'!C149/10,0))</f>
        <v>42226</v>
      </c>
      <c r="D149" s="22">
        <f>IF(Notes!$B$2="June",ROUND('Budget by Source'!D149/10,0)+Q149,ROUND('Budget by Source'!D149/10,0))</f>
        <v>184169</v>
      </c>
      <c r="E149" s="22">
        <f>IF(Notes!$B$2="June",ROUND('Budget by Source'!E149/10,0)+R149,ROUND('Budget by Source'!E149/10,0))</f>
        <v>20920</v>
      </c>
      <c r="F149" s="22">
        <f>IF(Notes!$B$2="June",ROUND('Budget by Source'!F149/10,0)+S149,ROUND('Budget by Source'!F149/10,0))</f>
        <v>21830</v>
      </c>
      <c r="G149" s="22">
        <f>IF(Notes!$B$2="June",ROUND('Budget by Source'!G149/10,0)+T149,ROUND('Budget by Source'!G149/10,0))</f>
        <v>111698</v>
      </c>
      <c r="H149" s="22">
        <f t="shared" si="6"/>
        <v>1773682</v>
      </c>
      <c r="I149" s="22">
        <f>INDEX(Data[],MATCH($A149,Data[Dist],0),MATCH(I$5,Data[#Headers],0))</f>
        <v>2154525</v>
      </c>
      <c r="K149" s="70">
        <f>INDEX('Payment Total'!$A$7:$H$336,MATCH('Payment by Source'!$A149,'Payment Total'!$A$7:$A$336,0),6)-I149</f>
        <v>0</v>
      </c>
      <c r="P149" s="158">
        <f>INDEX('Budget by Source'!$A$6:$I$335,MATCH('Payment by Source'!$A149,'Budget by Source'!$A$6:$A$335,0),MATCH(P$3,'Budget by Source'!$A$5:$I$5,0))-(ROUND(INDEX('Budget by Source'!$A$6:$I$335,MATCH('Payment by Source'!$A149,'Budget by Source'!$A$6:$A$335,0),MATCH(P$3,'Budget by Source'!$A$5:$I$5,0))/10,0)*10)</f>
        <v>-2</v>
      </c>
      <c r="Q149" s="158">
        <f>INDEX('Budget by Source'!$A$6:$I$335,MATCH('Payment by Source'!$A149,'Budget by Source'!$A$6:$A$335,0),MATCH(Q$3,'Budget by Source'!$A$5:$I$5,0))-(ROUND(INDEX('Budget by Source'!$A$6:$I$335,MATCH('Payment by Source'!$A149,'Budget by Source'!$A$6:$A$335,0),MATCH(Q$3,'Budget by Source'!$A$5:$I$5,0))/10,0)*10)</f>
        <v>1</v>
      </c>
      <c r="R149" s="158">
        <f>INDEX('Budget by Source'!$A$6:$I$335,MATCH('Payment by Source'!$A149,'Budget by Source'!$A$6:$A$335,0),MATCH(R$3,'Budget by Source'!$A$5:$I$5,0))-(ROUND(INDEX('Budget by Source'!$A$6:$I$335,MATCH('Payment by Source'!$A149,'Budget by Source'!$A$6:$A$335,0),MATCH(R$3,'Budget by Source'!$A$5:$I$5,0))/10,0)*10)</f>
        <v>0</v>
      </c>
      <c r="S149" s="158">
        <f>INDEX('Budget by Source'!$A$6:$I$335,MATCH('Payment by Source'!$A149,'Budget by Source'!$A$6:$A$335,0),MATCH(S$3,'Budget by Source'!$A$5:$I$5,0))-(ROUND(INDEX('Budget by Source'!$A$6:$I$335,MATCH('Payment by Source'!$A149,'Budget by Source'!$A$6:$A$335,0),MATCH(S$3,'Budget by Source'!$A$5:$I$5,0))/10,0)*10)</f>
        <v>0</v>
      </c>
      <c r="T149" s="158">
        <f>INDEX('Budget by Source'!$A$6:$I$335,MATCH('Payment by Source'!$A149,'Budget by Source'!$A$6:$A$335,0),MATCH(T$3,'Budget by Source'!$A$5:$I$5,0))-(ROUND(INDEX('Budget by Source'!$A$6:$I$335,MATCH('Payment by Source'!$A149,'Budget by Source'!$A$6:$A$335,0),MATCH(T$3,'Budget by Source'!$A$5:$I$5,0))/10,0)*10)</f>
        <v>-1</v>
      </c>
      <c r="U149" s="159">
        <f>INDEX('Budget by Source'!$A$6:$I$335,MATCH('Payment by Source'!$A149,'Budget by Source'!$A$6:$A$335,0),MATCH(U$3,'Budget by Source'!$A$5:$I$5,0))</f>
        <v>17793770</v>
      </c>
      <c r="V149" s="156">
        <f t="shared" si="7"/>
        <v>1779377</v>
      </c>
      <c r="W149" s="156">
        <f t="shared" si="8"/>
        <v>17793770</v>
      </c>
    </row>
    <row r="150" spans="1:23" x14ac:dyDescent="0.2">
      <c r="A150" s="23" t="str">
        <f>Data!B146</f>
        <v>3119</v>
      </c>
      <c r="B150" s="21" t="str">
        <f>INDEX(Data[],MATCH($A150,Data[Dist],0),MATCH(B$5,Data[#Headers],0))</f>
        <v>Interstate 35</v>
      </c>
      <c r="C150" s="22">
        <f>IF(Notes!$B$2="June",ROUND('Budget by Source'!C150/10,0)+P150,ROUND('Budget by Source'!C150/10,0))</f>
        <v>13739</v>
      </c>
      <c r="D150" s="22">
        <f>IF(Notes!$B$2="June",ROUND('Budget by Source'!D150/10,0)+Q150,ROUND('Budget by Source'!D150/10,0))</f>
        <v>51919</v>
      </c>
      <c r="E150" s="22">
        <f>IF(Notes!$B$2="June",ROUND('Budget by Source'!E150/10,0)+R150,ROUND('Budget by Source'!E150/10,0))</f>
        <v>5477</v>
      </c>
      <c r="F150" s="22">
        <f>IF(Notes!$B$2="June",ROUND('Budget by Source'!F150/10,0)+S150,ROUND('Budget by Source'!F150/10,0))</f>
        <v>4800</v>
      </c>
      <c r="G150" s="22">
        <f>IF(Notes!$B$2="June",ROUND('Budget by Source'!G150/10,0)+T150,ROUND('Budget by Source'!G150/10,0))</f>
        <v>28722</v>
      </c>
      <c r="H150" s="22">
        <f t="shared" si="6"/>
        <v>436918</v>
      </c>
      <c r="I150" s="22">
        <f>INDEX(Data[],MATCH($A150,Data[Dist],0),MATCH(I$5,Data[#Headers],0))</f>
        <v>541575</v>
      </c>
      <c r="K150" s="70">
        <f>INDEX('Payment Total'!$A$7:$H$336,MATCH('Payment by Source'!$A150,'Payment Total'!$A$7:$A$336,0),6)-I150</f>
        <v>0</v>
      </c>
      <c r="P150" s="158">
        <f>INDEX('Budget by Source'!$A$6:$I$335,MATCH('Payment by Source'!$A150,'Budget by Source'!$A$6:$A$335,0),MATCH(P$3,'Budget by Source'!$A$5:$I$5,0))-(ROUND(INDEX('Budget by Source'!$A$6:$I$335,MATCH('Payment by Source'!$A150,'Budget by Source'!$A$6:$A$335,0),MATCH(P$3,'Budget by Source'!$A$5:$I$5,0))/10,0)*10)</f>
        <v>-2</v>
      </c>
      <c r="Q150" s="158">
        <f>INDEX('Budget by Source'!$A$6:$I$335,MATCH('Payment by Source'!$A150,'Budget by Source'!$A$6:$A$335,0),MATCH(Q$3,'Budget by Source'!$A$5:$I$5,0))-(ROUND(INDEX('Budget by Source'!$A$6:$I$335,MATCH('Payment by Source'!$A150,'Budget by Source'!$A$6:$A$335,0),MATCH(Q$3,'Budget by Source'!$A$5:$I$5,0))/10,0)*10)</f>
        <v>1</v>
      </c>
      <c r="R150" s="158">
        <f>INDEX('Budget by Source'!$A$6:$I$335,MATCH('Payment by Source'!$A150,'Budget by Source'!$A$6:$A$335,0),MATCH(R$3,'Budget by Source'!$A$5:$I$5,0))-(ROUND(INDEX('Budget by Source'!$A$6:$I$335,MATCH('Payment by Source'!$A150,'Budget by Source'!$A$6:$A$335,0),MATCH(R$3,'Budget by Source'!$A$5:$I$5,0))/10,0)*10)</f>
        <v>-3</v>
      </c>
      <c r="S150" s="158">
        <f>INDEX('Budget by Source'!$A$6:$I$335,MATCH('Payment by Source'!$A150,'Budget by Source'!$A$6:$A$335,0),MATCH(S$3,'Budget by Source'!$A$5:$I$5,0))-(ROUND(INDEX('Budget by Source'!$A$6:$I$335,MATCH('Payment by Source'!$A150,'Budget by Source'!$A$6:$A$335,0),MATCH(S$3,'Budget by Source'!$A$5:$I$5,0))/10,0)*10)</f>
        <v>1</v>
      </c>
      <c r="T150" s="158">
        <f>INDEX('Budget by Source'!$A$6:$I$335,MATCH('Payment by Source'!$A150,'Budget by Source'!$A$6:$A$335,0),MATCH(T$3,'Budget by Source'!$A$5:$I$5,0))-(ROUND(INDEX('Budget by Source'!$A$6:$I$335,MATCH('Payment by Source'!$A150,'Budget by Source'!$A$6:$A$335,0),MATCH(T$3,'Budget by Source'!$A$5:$I$5,0))/10,0)*10)</f>
        <v>3</v>
      </c>
      <c r="U150" s="159">
        <f>INDEX('Budget by Source'!$A$6:$I$335,MATCH('Payment by Source'!$A150,'Budget by Source'!$A$6:$A$335,0),MATCH(U$3,'Budget by Source'!$A$5:$I$5,0))</f>
        <v>4383470</v>
      </c>
      <c r="V150" s="156">
        <f t="shared" si="7"/>
        <v>438347</v>
      </c>
      <c r="W150" s="156">
        <f t="shared" si="8"/>
        <v>4383470</v>
      </c>
    </row>
    <row r="151" spans="1:23" x14ac:dyDescent="0.2">
      <c r="A151" s="23" t="str">
        <f>Data!B147</f>
        <v>3141</v>
      </c>
      <c r="B151" s="21" t="str">
        <f>INDEX(Data[],MATCH($A151,Data[Dist],0),MATCH(B$5,Data[#Headers],0))</f>
        <v>Iowa City</v>
      </c>
      <c r="C151" s="22">
        <f>IF(Notes!$B$2="June",ROUND('Budget by Source'!C151/10,0)+P151,ROUND('Budget by Source'!C151/10,0))</f>
        <v>166568</v>
      </c>
      <c r="D151" s="22">
        <f>IF(Notes!$B$2="June",ROUND('Budget by Source'!D151/10,0)+Q151,ROUND('Budget by Source'!D151/10,0))</f>
        <v>791948</v>
      </c>
      <c r="E151" s="22">
        <f>IF(Notes!$B$2="June",ROUND('Budget by Source'!E151/10,0)+R151,ROUND('Budget by Source'!E151/10,0))</f>
        <v>100379</v>
      </c>
      <c r="F151" s="22">
        <f>IF(Notes!$B$2="June",ROUND('Budget by Source'!F151/10,0)+S151,ROUND('Budget by Source'!F151/10,0))</f>
        <v>97874</v>
      </c>
      <c r="G151" s="22">
        <f>IF(Notes!$B$2="June",ROUND('Budget by Source'!G151/10,0)+T151,ROUND('Budget by Source'!G151/10,0))</f>
        <v>463552</v>
      </c>
      <c r="H151" s="22">
        <f t="shared" si="6"/>
        <v>5822136</v>
      </c>
      <c r="I151" s="22">
        <f>INDEX(Data[],MATCH($A151,Data[Dist],0),MATCH(I$5,Data[#Headers],0))</f>
        <v>7442457</v>
      </c>
      <c r="K151" s="70">
        <f>INDEX('Payment Total'!$A$7:$H$336,MATCH('Payment by Source'!$A151,'Payment Total'!$A$7:$A$336,0),6)-I151</f>
        <v>0</v>
      </c>
      <c r="P151" s="158">
        <f>INDEX('Budget by Source'!$A$6:$I$335,MATCH('Payment by Source'!$A151,'Budget by Source'!$A$6:$A$335,0),MATCH(P$3,'Budget by Source'!$A$5:$I$5,0))-(ROUND(INDEX('Budget by Source'!$A$6:$I$335,MATCH('Payment by Source'!$A151,'Budget by Source'!$A$6:$A$335,0),MATCH(P$3,'Budget by Source'!$A$5:$I$5,0))/10,0)*10)</f>
        <v>3</v>
      </c>
      <c r="Q151" s="158">
        <f>INDEX('Budget by Source'!$A$6:$I$335,MATCH('Payment by Source'!$A151,'Budget by Source'!$A$6:$A$335,0),MATCH(Q$3,'Budget by Source'!$A$5:$I$5,0))-(ROUND(INDEX('Budget by Source'!$A$6:$I$335,MATCH('Payment by Source'!$A151,'Budget by Source'!$A$6:$A$335,0),MATCH(Q$3,'Budget by Source'!$A$5:$I$5,0))/10,0)*10)</f>
        <v>-3</v>
      </c>
      <c r="R151" s="158">
        <f>INDEX('Budget by Source'!$A$6:$I$335,MATCH('Payment by Source'!$A151,'Budget by Source'!$A$6:$A$335,0),MATCH(R$3,'Budget by Source'!$A$5:$I$5,0))-(ROUND(INDEX('Budget by Source'!$A$6:$I$335,MATCH('Payment by Source'!$A151,'Budget by Source'!$A$6:$A$335,0),MATCH(R$3,'Budget by Source'!$A$5:$I$5,0))/10,0)*10)</f>
        <v>3</v>
      </c>
      <c r="S151" s="158">
        <f>INDEX('Budget by Source'!$A$6:$I$335,MATCH('Payment by Source'!$A151,'Budget by Source'!$A$6:$A$335,0),MATCH(S$3,'Budget by Source'!$A$5:$I$5,0))-(ROUND(INDEX('Budget by Source'!$A$6:$I$335,MATCH('Payment by Source'!$A151,'Budget by Source'!$A$6:$A$335,0),MATCH(S$3,'Budget by Source'!$A$5:$I$5,0))/10,0)*10)</f>
        <v>-4</v>
      </c>
      <c r="T151" s="158">
        <f>INDEX('Budget by Source'!$A$6:$I$335,MATCH('Payment by Source'!$A151,'Budget by Source'!$A$6:$A$335,0),MATCH(T$3,'Budget by Source'!$A$5:$I$5,0))-(ROUND(INDEX('Budget by Source'!$A$6:$I$335,MATCH('Payment by Source'!$A151,'Budget by Source'!$A$6:$A$335,0),MATCH(T$3,'Budget by Source'!$A$5:$I$5,0))/10,0)*10)</f>
        <v>4</v>
      </c>
      <c r="U151" s="159">
        <f>INDEX('Budget by Source'!$A$6:$I$335,MATCH('Payment by Source'!$A151,'Budget by Source'!$A$6:$A$335,0),MATCH(U$3,'Budget by Source'!$A$5:$I$5,0))</f>
        <v>58457815</v>
      </c>
      <c r="V151" s="156">
        <f t="shared" si="7"/>
        <v>5845782</v>
      </c>
      <c r="W151" s="156">
        <f t="shared" si="8"/>
        <v>58457820</v>
      </c>
    </row>
    <row r="152" spans="1:23" x14ac:dyDescent="0.2">
      <c r="A152" s="23" t="str">
        <f>Data!B148</f>
        <v>3150</v>
      </c>
      <c r="B152" s="21" t="str">
        <f>INDEX(Data[],MATCH($A152,Data[Dist],0),MATCH(B$5,Data[#Headers],0))</f>
        <v>Iowa Falls</v>
      </c>
      <c r="C152" s="22">
        <f>IF(Notes!$B$2="June",ROUND('Budget by Source'!C152/10,0)+P152,ROUND('Budget by Source'!C152/10,0))</f>
        <v>15749</v>
      </c>
      <c r="D152" s="22">
        <f>IF(Notes!$B$2="June",ROUND('Budget by Source'!D152/10,0)+Q152,ROUND('Budget by Source'!D152/10,0))</f>
        <v>64703</v>
      </c>
      <c r="E152" s="22">
        <f>IF(Notes!$B$2="June",ROUND('Budget by Source'!E152/10,0)+R152,ROUND('Budget by Source'!E152/10,0))</f>
        <v>8116</v>
      </c>
      <c r="F152" s="22">
        <f>IF(Notes!$B$2="June",ROUND('Budget by Source'!F152/10,0)+S152,ROUND('Budget by Source'!F152/10,0))</f>
        <v>7519</v>
      </c>
      <c r="G152" s="22">
        <f>IF(Notes!$B$2="June",ROUND('Budget by Source'!G152/10,0)+T152,ROUND('Budget by Source'!G152/10,0))</f>
        <v>35820</v>
      </c>
      <c r="H152" s="22">
        <f t="shared" si="6"/>
        <v>552666</v>
      </c>
      <c r="I152" s="22">
        <f>INDEX(Data[],MATCH($A152,Data[Dist],0),MATCH(I$5,Data[#Headers],0))</f>
        <v>684573</v>
      </c>
      <c r="K152" s="70">
        <f>INDEX('Payment Total'!$A$7:$H$336,MATCH('Payment by Source'!$A152,'Payment Total'!$A$7:$A$336,0),6)-I152</f>
        <v>0</v>
      </c>
      <c r="P152" s="158">
        <f>INDEX('Budget by Source'!$A$6:$I$335,MATCH('Payment by Source'!$A152,'Budget by Source'!$A$6:$A$335,0),MATCH(P$3,'Budget by Source'!$A$5:$I$5,0))-(ROUND(INDEX('Budget by Source'!$A$6:$I$335,MATCH('Payment by Source'!$A152,'Budget by Source'!$A$6:$A$335,0),MATCH(P$3,'Budget by Source'!$A$5:$I$5,0))/10,0)*10)</f>
        <v>-3</v>
      </c>
      <c r="Q152" s="158">
        <f>INDEX('Budget by Source'!$A$6:$I$335,MATCH('Payment by Source'!$A152,'Budget by Source'!$A$6:$A$335,0),MATCH(Q$3,'Budget by Source'!$A$5:$I$5,0))-(ROUND(INDEX('Budget by Source'!$A$6:$I$335,MATCH('Payment by Source'!$A152,'Budget by Source'!$A$6:$A$335,0),MATCH(Q$3,'Budget by Source'!$A$5:$I$5,0))/10,0)*10)</f>
        <v>0</v>
      </c>
      <c r="R152" s="158">
        <f>INDEX('Budget by Source'!$A$6:$I$335,MATCH('Payment by Source'!$A152,'Budget by Source'!$A$6:$A$335,0),MATCH(R$3,'Budget by Source'!$A$5:$I$5,0))-(ROUND(INDEX('Budget by Source'!$A$6:$I$335,MATCH('Payment by Source'!$A152,'Budget by Source'!$A$6:$A$335,0),MATCH(R$3,'Budget by Source'!$A$5:$I$5,0))/10,0)*10)</f>
        <v>0</v>
      </c>
      <c r="S152" s="158">
        <f>INDEX('Budget by Source'!$A$6:$I$335,MATCH('Payment by Source'!$A152,'Budget by Source'!$A$6:$A$335,0),MATCH(S$3,'Budget by Source'!$A$5:$I$5,0))-(ROUND(INDEX('Budget by Source'!$A$6:$I$335,MATCH('Payment by Source'!$A152,'Budget by Source'!$A$6:$A$335,0),MATCH(S$3,'Budget by Source'!$A$5:$I$5,0))/10,0)*10)</f>
        <v>-5</v>
      </c>
      <c r="T152" s="158">
        <f>INDEX('Budget by Source'!$A$6:$I$335,MATCH('Payment by Source'!$A152,'Budget by Source'!$A$6:$A$335,0),MATCH(T$3,'Budget by Source'!$A$5:$I$5,0))-(ROUND(INDEX('Budget by Source'!$A$6:$I$335,MATCH('Payment by Source'!$A152,'Budget by Source'!$A$6:$A$335,0),MATCH(T$3,'Budget by Source'!$A$5:$I$5,0))/10,0)*10)</f>
        <v>-4</v>
      </c>
      <c r="U152" s="159">
        <f>INDEX('Budget by Source'!$A$6:$I$335,MATCH('Payment by Source'!$A152,'Budget by Source'!$A$6:$A$335,0),MATCH(U$3,'Budget by Source'!$A$5:$I$5,0))</f>
        <v>5544833</v>
      </c>
      <c r="V152" s="156">
        <f t="shared" si="7"/>
        <v>554483</v>
      </c>
      <c r="W152" s="156">
        <f t="shared" si="8"/>
        <v>5544830</v>
      </c>
    </row>
    <row r="153" spans="1:23" x14ac:dyDescent="0.2">
      <c r="A153" s="23" t="str">
        <f>Data!B149</f>
        <v>3154</v>
      </c>
      <c r="B153" s="21" t="str">
        <f>INDEX(Data[],MATCH($A153,Data[Dist],0),MATCH(B$5,Data[#Headers],0))</f>
        <v>Iowa Valley</v>
      </c>
      <c r="C153" s="22">
        <f>IF(Notes!$B$2="June",ROUND('Budget by Source'!C153/10,0)+P153,ROUND('Budget by Source'!C153/10,0))</f>
        <v>8711</v>
      </c>
      <c r="D153" s="22">
        <f>IF(Notes!$B$2="June",ROUND('Budget by Source'!D153/10,0)+Q153,ROUND('Budget by Source'!D153/10,0))</f>
        <v>30113</v>
      </c>
      <c r="E153" s="22">
        <f>IF(Notes!$B$2="June",ROUND('Budget by Source'!E153/10,0)+R153,ROUND('Budget by Source'!E153/10,0))</f>
        <v>2971</v>
      </c>
      <c r="F153" s="22">
        <f>IF(Notes!$B$2="June",ROUND('Budget by Source'!F153/10,0)+S153,ROUND('Budget by Source'!F153/10,0))</f>
        <v>3512</v>
      </c>
      <c r="G153" s="22">
        <f>IF(Notes!$B$2="June",ROUND('Budget by Source'!G153/10,0)+T153,ROUND('Budget by Source'!G153/10,0))</f>
        <v>17780</v>
      </c>
      <c r="H153" s="22">
        <f t="shared" si="6"/>
        <v>275162</v>
      </c>
      <c r="I153" s="22">
        <f>INDEX(Data[],MATCH($A153,Data[Dist],0),MATCH(I$5,Data[#Headers],0))</f>
        <v>338249</v>
      </c>
      <c r="K153" s="70">
        <f>INDEX('Payment Total'!$A$7:$H$336,MATCH('Payment by Source'!$A153,'Payment Total'!$A$7:$A$336,0),6)-I153</f>
        <v>0</v>
      </c>
      <c r="P153" s="158">
        <f>INDEX('Budget by Source'!$A$6:$I$335,MATCH('Payment by Source'!$A153,'Budget by Source'!$A$6:$A$335,0),MATCH(P$3,'Budget by Source'!$A$5:$I$5,0))-(ROUND(INDEX('Budget by Source'!$A$6:$I$335,MATCH('Payment by Source'!$A153,'Budget by Source'!$A$6:$A$335,0),MATCH(P$3,'Budget by Source'!$A$5:$I$5,0))/10,0)*10)</f>
        <v>-3</v>
      </c>
      <c r="Q153" s="158">
        <f>INDEX('Budget by Source'!$A$6:$I$335,MATCH('Payment by Source'!$A153,'Budget by Source'!$A$6:$A$335,0),MATCH(Q$3,'Budget by Source'!$A$5:$I$5,0))-(ROUND(INDEX('Budget by Source'!$A$6:$I$335,MATCH('Payment by Source'!$A153,'Budget by Source'!$A$6:$A$335,0),MATCH(Q$3,'Budget by Source'!$A$5:$I$5,0))/10,0)*10)</f>
        <v>-2</v>
      </c>
      <c r="R153" s="158">
        <f>INDEX('Budget by Source'!$A$6:$I$335,MATCH('Payment by Source'!$A153,'Budget by Source'!$A$6:$A$335,0),MATCH(R$3,'Budget by Source'!$A$5:$I$5,0))-(ROUND(INDEX('Budget by Source'!$A$6:$I$335,MATCH('Payment by Source'!$A153,'Budget by Source'!$A$6:$A$335,0),MATCH(R$3,'Budget by Source'!$A$5:$I$5,0))/10,0)*10)</f>
        <v>-4</v>
      </c>
      <c r="S153" s="158">
        <f>INDEX('Budget by Source'!$A$6:$I$335,MATCH('Payment by Source'!$A153,'Budget by Source'!$A$6:$A$335,0),MATCH(S$3,'Budget by Source'!$A$5:$I$5,0))-(ROUND(INDEX('Budget by Source'!$A$6:$I$335,MATCH('Payment by Source'!$A153,'Budget by Source'!$A$6:$A$335,0),MATCH(S$3,'Budget by Source'!$A$5:$I$5,0))/10,0)*10)</f>
        <v>1</v>
      </c>
      <c r="T153" s="158">
        <f>INDEX('Budget by Source'!$A$6:$I$335,MATCH('Payment by Source'!$A153,'Budget by Source'!$A$6:$A$335,0),MATCH(T$3,'Budget by Source'!$A$5:$I$5,0))-(ROUND(INDEX('Budget by Source'!$A$6:$I$335,MATCH('Payment by Source'!$A153,'Budget by Source'!$A$6:$A$335,0),MATCH(T$3,'Budget by Source'!$A$5:$I$5,0))/10,0)*10)</f>
        <v>-5</v>
      </c>
      <c r="U153" s="159">
        <f>INDEX('Budget by Source'!$A$6:$I$335,MATCH('Payment by Source'!$A153,'Budget by Source'!$A$6:$A$335,0),MATCH(U$3,'Budget by Source'!$A$5:$I$5,0))</f>
        <v>2760571</v>
      </c>
      <c r="V153" s="156">
        <f t="shared" si="7"/>
        <v>276057</v>
      </c>
      <c r="W153" s="156">
        <f t="shared" si="8"/>
        <v>2760570</v>
      </c>
    </row>
    <row r="154" spans="1:23" x14ac:dyDescent="0.2">
      <c r="A154" s="23" t="str">
        <f>Data!B150</f>
        <v>3168</v>
      </c>
      <c r="B154" s="21" t="str">
        <f>INDEX(Data[],MATCH($A154,Data[Dist],0),MATCH(B$5,Data[#Headers],0))</f>
        <v>IKM-Manning</v>
      </c>
      <c r="C154" s="22">
        <f>IF(Notes!$B$2="June",ROUND('Budget by Source'!C154/10,0)+P154,ROUND('Budget by Source'!C154/10,0))</f>
        <v>14412</v>
      </c>
      <c r="D154" s="22">
        <f>IF(Notes!$B$2="June",ROUND('Budget by Source'!D154/10,0)+Q154,ROUND('Budget by Source'!D154/10,0))</f>
        <v>42905</v>
      </c>
      <c r="E154" s="22">
        <f>IF(Notes!$B$2="June",ROUND('Budget by Source'!E154/10,0)+R154,ROUND('Budget by Source'!E154/10,0))</f>
        <v>4426</v>
      </c>
      <c r="F154" s="22">
        <f>IF(Notes!$B$2="June",ROUND('Budget by Source'!F154/10,0)+S154,ROUND('Budget by Source'!F154/10,0))</f>
        <v>4909</v>
      </c>
      <c r="G154" s="22">
        <f>IF(Notes!$B$2="June",ROUND('Budget by Source'!G154/10,0)+T154,ROUND('Budget by Source'!G154/10,0))</f>
        <v>22183</v>
      </c>
      <c r="H154" s="22">
        <f t="shared" si="6"/>
        <v>264466</v>
      </c>
      <c r="I154" s="22">
        <f>INDEX(Data[],MATCH($A154,Data[Dist],0),MATCH(I$5,Data[#Headers],0))</f>
        <v>353301</v>
      </c>
      <c r="K154" s="70">
        <f>INDEX('Payment Total'!$A$7:$H$336,MATCH('Payment by Source'!$A154,'Payment Total'!$A$7:$A$336,0),6)-I154</f>
        <v>0</v>
      </c>
      <c r="P154" s="158">
        <f>INDEX('Budget by Source'!$A$6:$I$335,MATCH('Payment by Source'!$A154,'Budget by Source'!$A$6:$A$335,0),MATCH(P$3,'Budget by Source'!$A$5:$I$5,0))-(ROUND(INDEX('Budget by Source'!$A$6:$I$335,MATCH('Payment by Source'!$A154,'Budget by Source'!$A$6:$A$335,0),MATCH(P$3,'Budget by Source'!$A$5:$I$5,0))/10,0)*10)</f>
        <v>1</v>
      </c>
      <c r="Q154" s="158">
        <f>INDEX('Budget by Source'!$A$6:$I$335,MATCH('Payment by Source'!$A154,'Budget by Source'!$A$6:$A$335,0),MATCH(Q$3,'Budget by Source'!$A$5:$I$5,0))-(ROUND(INDEX('Budget by Source'!$A$6:$I$335,MATCH('Payment by Source'!$A154,'Budget by Source'!$A$6:$A$335,0),MATCH(Q$3,'Budget by Source'!$A$5:$I$5,0))/10,0)*10)</f>
        <v>-3</v>
      </c>
      <c r="R154" s="158">
        <f>INDEX('Budget by Source'!$A$6:$I$335,MATCH('Payment by Source'!$A154,'Budget by Source'!$A$6:$A$335,0),MATCH(R$3,'Budget by Source'!$A$5:$I$5,0))-(ROUND(INDEX('Budget by Source'!$A$6:$I$335,MATCH('Payment by Source'!$A154,'Budget by Source'!$A$6:$A$335,0),MATCH(R$3,'Budget by Source'!$A$5:$I$5,0))/10,0)*10)</f>
        <v>-1</v>
      </c>
      <c r="S154" s="158">
        <f>INDEX('Budget by Source'!$A$6:$I$335,MATCH('Payment by Source'!$A154,'Budget by Source'!$A$6:$A$335,0),MATCH(S$3,'Budget by Source'!$A$5:$I$5,0))-(ROUND(INDEX('Budget by Source'!$A$6:$I$335,MATCH('Payment by Source'!$A154,'Budget by Source'!$A$6:$A$335,0),MATCH(S$3,'Budget by Source'!$A$5:$I$5,0))/10,0)*10)</f>
        <v>-5</v>
      </c>
      <c r="T154" s="158">
        <f>INDEX('Budget by Source'!$A$6:$I$335,MATCH('Payment by Source'!$A154,'Budget by Source'!$A$6:$A$335,0),MATCH(T$3,'Budget by Source'!$A$5:$I$5,0))-(ROUND(INDEX('Budget by Source'!$A$6:$I$335,MATCH('Payment by Source'!$A154,'Budget by Source'!$A$6:$A$335,0),MATCH(T$3,'Budget by Source'!$A$5:$I$5,0))/10,0)*10)</f>
        <v>-3</v>
      </c>
      <c r="U154" s="159">
        <f>INDEX('Budget by Source'!$A$6:$I$335,MATCH('Payment by Source'!$A154,'Budget by Source'!$A$6:$A$335,0),MATCH(U$3,'Budget by Source'!$A$5:$I$5,0))</f>
        <v>2655893</v>
      </c>
      <c r="V154" s="156">
        <f t="shared" si="7"/>
        <v>265589</v>
      </c>
      <c r="W154" s="156">
        <f t="shared" si="8"/>
        <v>2655890</v>
      </c>
    </row>
    <row r="155" spans="1:23" x14ac:dyDescent="0.2">
      <c r="A155" s="23" t="str">
        <f>Data!B151</f>
        <v>3186</v>
      </c>
      <c r="B155" s="21" t="str">
        <f>INDEX(Data[],MATCH($A155,Data[Dist],0),MATCH(B$5,Data[#Headers],0))</f>
        <v>Janesville</v>
      </c>
      <c r="C155" s="22">
        <f>IF(Notes!$B$2="June",ROUND('Budget by Source'!C155/10,0)+P155,ROUND('Budget by Source'!C155/10,0))</f>
        <v>10720</v>
      </c>
      <c r="D155" s="22">
        <f>IF(Notes!$B$2="June",ROUND('Budget by Source'!D155/10,0)+Q155,ROUND('Budget by Source'!D155/10,0))</f>
        <v>22961</v>
      </c>
      <c r="E155" s="22">
        <f>IF(Notes!$B$2="June",ROUND('Budget by Source'!E155/10,0)+R155,ROUND('Budget by Source'!E155/10,0))</f>
        <v>1952</v>
      </c>
      <c r="F155" s="22">
        <f>IF(Notes!$B$2="June",ROUND('Budget by Source'!F155/10,0)+S155,ROUND('Budget by Source'!F155/10,0))</f>
        <v>2206</v>
      </c>
      <c r="G155" s="22">
        <f>IF(Notes!$B$2="June",ROUND('Budget by Source'!G155/10,0)+T155,ROUND('Budget by Source'!G155/10,0))</f>
        <v>13158</v>
      </c>
      <c r="H155" s="22">
        <f t="shared" si="6"/>
        <v>184538</v>
      </c>
      <c r="I155" s="22">
        <f>INDEX(Data[],MATCH($A155,Data[Dist],0),MATCH(I$5,Data[#Headers],0))</f>
        <v>235535</v>
      </c>
      <c r="K155" s="70">
        <f>INDEX('Payment Total'!$A$7:$H$336,MATCH('Payment by Source'!$A155,'Payment Total'!$A$7:$A$336,0),6)-I155</f>
        <v>0</v>
      </c>
      <c r="P155" s="158">
        <f>INDEX('Budget by Source'!$A$6:$I$335,MATCH('Payment by Source'!$A155,'Budget by Source'!$A$6:$A$335,0),MATCH(P$3,'Budget by Source'!$A$5:$I$5,0))-(ROUND(INDEX('Budget by Source'!$A$6:$I$335,MATCH('Payment by Source'!$A155,'Budget by Source'!$A$6:$A$335,0),MATCH(P$3,'Budget by Source'!$A$5:$I$5,0))/10,0)*10)</f>
        <v>-5</v>
      </c>
      <c r="Q155" s="158">
        <f>INDEX('Budget by Source'!$A$6:$I$335,MATCH('Payment by Source'!$A155,'Budget by Source'!$A$6:$A$335,0),MATCH(Q$3,'Budget by Source'!$A$5:$I$5,0))-(ROUND(INDEX('Budget by Source'!$A$6:$I$335,MATCH('Payment by Source'!$A155,'Budget by Source'!$A$6:$A$335,0),MATCH(Q$3,'Budget by Source'!$A$5:$I$5,0))/10,0)*10)</f>
        <v>1</v>
      </c>
      <c r="R155" s="158">
        <f>INDEX('Budget by Source'!$A$6:$I$335,MATCH('Payment by Source'!$A155,'Budget by Source'!$A$6:$A$335,0),MATCH(R$3,'Budget by Source'!$A$5:$I$5,0))-(ROUND(INDEX('Budget by Source'!$A$6:$I$335,MATCH('Payment by Source'!$A155,'Budget by Source'!$A$6:$A$335,0),MATCH(R$3,'Budget by Source'!$A$5:$I$5,0))/10,0)*10)</f>
        <v>3</v>
      </c>
      <c r="S155" s="158">
        <f>INDEX('Budget by Source'!$A$6:$I$335,MATCH('Payment by Source'!$A155,'Budget by Source'!$A$6:$A$335,0),MATCH(S$3,'Budget by Source'!$A$5:$I$5,0))-(ROUND(INDEX('Budget by Source'!$A$6:$I$335,MATCH('Payment by Source'!$A155,'Budget by Source'!$A$6:$A$335,0),MATCH(S$3,'Budget by Source'!$A$5:$I$5,0))/10,0)*10)</f>
        <v>4</v>
      </c>
      <c r="T155" s="158">
        <f>INDEX('Budget by Source'!$A$6:$I$335,MATCH('Payment by Source'!$A155,'Budget by Source'!$A$6:$A$335,0),MATCH(T$3,'Budget by Source'!$A$5:$I$5,0))-(ROUND(INDEX('Budget by Source'!$A$6:$I$335,MATCH('Payment by Source'!$A155,'Budget by Source'!$A$6:$A$335,0),MATCH(T$3,'Budget by Source'!$A$5:$I$5,0))/10,0)*10)</f>
        <v>0</v>
      </c>
      <c r="U155" s="159">
        <f>INDEX('Budget by Source'!$A$6:$I$335,MATCH('Payment by Source'!$A155,'Budget by Source'!$A$6:$A$335,0),MATCH(U$3,'Budget by Source'!$A$5:$I$5,0))</f>
        <v>1852137</v>
      </c>
      <c r="V155" s="156">
        <f t="shared" si="7"/>
        <v>185214</v>
      </c>
      <c r="W155" s="156">
        <f t="shared" si="8"/>
        <v>1852140</v>
      </c>
    </row>
    <row r="156" spans="1:23" x14ac:dyDescent="0.2">
      <c r="A156" s="23" t="str">
        <f>Data!B152</f>
        <v>3195</v>
      </c>
      <c r="B156" s="21" t="str">
        <f>INDEX(Data[],MATCH($A156,Data[Dist],0),MATCH(B$5,Data[#Headers],0))</f>
        <v>Greene County</v>
      </c>
      <c r="C156" s="22">
        <f>IF(Notes!$B$2="June",ROUND('Budget by Source'!C156/10,0)+P156,ROUND('Budget by Source'!C156/10,0))</f>
        <v>27478</v>
      </c>
      <c r="D156" s="22">
        <f>IF(Notes!$B$2="June",ROUND('Budget by Source'!D156/10,0)+Q156,ROUND('Budget by Source'!D156/10,0))</f>
        <v>73069</v>
      </c>
      <c r="E156" s="22">
        <f>IF(Notes!$B$2="June",ROUND('Budget by Source'!E156/10,0)+R156,ROUND('Budget by Source'!E156/10,0))</f>
        <v>9000</v>
      </c>
      <c r="F156" s="22">
        <f>IF(Notes!$B$2="June",ROUND('Budget by Source'!F156/10,0)+S156,ROUND('Budget by Source'!F156/10,0))</f>
        <v>8310</v>
      </c>
      <c r="G156" s="22">
        <f>IF(Notes!$B$2="June",ROUND('Budget by Source'!G156/10,0)+T156,ROUND('Budget by Source'!G156/10,0))</f>
        <v>40451</v>
      </c>
      <c r="H156" s="22">
        <f t="shared" si="6"/>
        <v>560183</v>
      </c>
      <c r="I156" s="22">
        <f>INDEX(Data[],MATCH($A156,Data[Dist],0),MATCH(I$5,Data[#Headers],0))</f>
        <v>718491</v>
      </c>
      <c r="K156" s="70">
        <f>INDEX('Payment Total'!$A$7:$H$336,MATCH('Payment by Source'!$A156,'Payment Total'!$A$7:$A$336,0),6)-I156</f>
        <v>0</v>
      </c>
      <c r="P156" s="158">
        <f>INDEX('Budget by Source'!$A$6:$I$335,MATCH('Payment by Source'!$A156,'Budget by Source'!$A$6:$A$335,0),MATCH(P$3,'Budget by Source'!$A$5:$I$5,0))-(ROUND(INDEX('Budget by Source'!$A$6:$I$335,MATCH('Payment by Source'!$A156,'Budget by Source'!$A$6:$A$335,0),MATCH(P$3,'Budget by Source'!$A$5:$I$5,0))/10,0)*10)</f>
        <v>-4</v>
      </c>
      <c r="Q156" s="158">
        <f>INDEX('Budget by Source'!$A$6:$I$335,MATCH('Payment by Source'!$A156,'Budget by Source'!$A$6:$A$335,0),MATCH(Q$3,'Budget by Source'!$A$5:$I$5,0))-(ROUND(INDEX('Budget by Source'!$A$6:$I$335,MATCH('Payment by Source'!$A156,'Budget by Source'!$A$6:$A$335,0),MATCH(Q$3,'Budget by Source'!$A$5:$I$5,0))/10,0)*10)</f>
        <v>4</v>
      </c>
      <c r="R156" s="158">
        <f>INDEX('Budget by Source'!$A$6:$I$335,MATCH('Payment by Source'!$A156,'Budget by Source'!$A$6:$A$335,0),MATCH(R$3,'Budget by Source'!$A$5:$I$5,0))-(ROUND(INDEX('Budget by Source'!$A$6:$I$335,MATCH('Payment by Source'!$A156,'Budget by Source'!$A$6:$A$335,0),MATCH(R$3,'Budget by Source'!$A$5:$I$5,0))/10,0)*10)</f>
        <v>-2</v>
      </c>
      <c r="S156" s="158">
        <f>INDEX('Budget by Source'!$A$6:$I$335,MATCH('Payment by Source'!$A156,'Budget by Source'!$A$6:$A$335,0),MATCH(S$3,'Budget by Source'!$A$5:$I$5,0))-(ROUND(INDEX('Budget by Source'!$A$6:$I$335,MATCH('Payment by Source'!$A156,'Budget by Source'!$A$6:$A$335,0),MATCH(S$3,'Budget by Source'!$A$5:$I$5,0))/10,0)*10)</f>
        <v>-2</v>
      </c>
      <c r="T156" s="158">
        <f>INDEX('Budget by Source'!$A$6:$I$335,MATCH('Payment by Source'!$A156,'Budget by Source'!$A$6:$A$335,0),MATCH(T$3,'Budget by Source'!$A$5:$I$5,0))-(ROUND(INDEX('Budget by Source'!$A$6:$I$335,MATCH('Payment by Source'!$A156,'Budget by Source'!$A$6:$A$335,0),MATCH(T$3,'Budget by Source'!$A$5:$I$5,0))/10,0)*10)</f>
        <v>1</v>
      </c>
      <c r="U156" s="159">
        <f>INDEX('Budget by Source'!$A$6:$I$335,MATCH('Payment by Source'!$A156,'Budget by Source'!$A$6:$A$335,0),MATCH(U$3,'Budget by Source'!$A$5:$I$5,0))</f>
        <v>5622428</v>
      </c>
      <c r="V156" s="156">
        <f t="shared" si="7"/>
        <v>562243</v>
      </c>
      <c r="W156" s="156">
        <f t="shared" si="8"/>
        <v>5622430</v>
      </c>
    </row>
    <row r="157" spans="1:23" x14ac:dyDescent="0.2">
      <c r="A157" s="23" t="str">
        <f>Data!B153</f>
        <v>3204</v>
      </c>
      <c r="B157" s="21" t="str">
        <f>INDEX(Data[],MATCH($A157,Data[Dist],0),MATCH(B$5,Data[#Headers],0))</f>
        <v>Jesup</v>
      </c>
      <c r="C157" s="22">
        <f>IF(Notes!$B$2="June",ROUND('Budget by Source'!C157/10,0)+P157,ROUND('Budget by Source'!C157/10,0))</f>
        <v>0</v>
      </c>
      <c r="D157" s="22">
        <f>IF(Notes!$B$2="June",ROUND('Budget by Source'!D157/10,0)+Q157,ROUND('Budget by Source'!D157/10,0))</f>
        <v>47858</v>
      </c>
      <c r="E157" s="22">
        <f>IF(Notes!$B$2="June",ROUND('Budget by Source'!E157/10,0)+R157,ROUND('Budget by Source'!E157/10,0))</f>
        <v>6336</v>
      </c>
      <c r="F157" s="22">
        <f>IF(Notes!$B$2="June",ROUND('Budget by Source'!F157/10,0)+S157,ROUND('Budget by Source'!F157/10,0))</f>
        <v>5191</v>
      </c>
      <c r="G157" s="22">
        <f>IF(Notes!$B$2="June",ROUND('Budget by Source'!G157/10,0)+T157,ROUND('Budget by Source'!G157/10,0))</f>
        <v>29648</v>
      </c>
      <c r="H157" s="22">
        <f t="shared" si="6"/>
        <v>431113</v>
      </c>
      <c r="I157" s="22">
        <f>INDEX(Data[],MATCH($A157,Data[Dist],0),MATCH(I$5,Data[#Headers],0))</f>
        <v>520146</v>
      </c>
      <c r="K157" s="70">
        <f>INDEX('Payment Total'!$A$7:$H$336,MATCH('Payment by Source'!$A157,'Payment Total'!$A$7:$A$336,0),6)-I157</f>
        <v>0</v>
      </c>
      <c r="P157" s="158">
        <f>INDEX('Budget by Source'!$A$6:$I$335,MATCH('Payment by Source'!$A157,'Budget by Source'!$A$6:$A$335,0),MATCH(P$3,'Budget by Source'!$A$5:$I$5,0))-(ROUND(INDEX('Budget by Source'!$A$6:$I$335,MATCH('Payment by Source'!$A157,'Budget by Source'!$A$6:$A$335,0),MATCH(P$3,'Budget by Source'!$A$5:$I$5,0))/10,0)*10)</f>
        <v>0</v>
      </c>
      <c r="Q157" s="158">
        <f>INDEX('Budget by Source'!$A$6:$I$335,MATCH('Payment by Source'!$A157,'Budget by Source'!$A$6:$A$335,0),MATCH(Q$3,'Budget by Source'!$A$5:$I$5,0))-(ROUND(INDEX('Budget by Source'!$A$6:$I$335,MATCH('Payment by Source'!$A157,'Budget by Source'!$A$6:$A$335,0),MATCH(Q$3,'Budget by Source'!$A$5:$I$5,0))/10,0)*10)</f>
        <v>-3</v>
      </c>
      <c r="R157" s="158">
        <f>INDEX('Budget by Source'!$A$6:$I$335,MATCH('Payment by Source'!$A157,'Budget by Source'!$A$6:$A$335,0),MATCH(R$3,'Budget by Source'!$A$5:$I$5,0))-(ROUND(INDEX('Budget by Source'!$A$6:$I$335,MATCH('Payment by Source'!$A157,'Budget by Source'!$A$6:$A$335,0),MATCH(R$3,'Budget by Source'!$A$5:$I$5,0))/10,0)*10)</f>
        <v>-2</v>
      </c>
      <c r="S157" s="158">
        <f>INDEX('Budget by Source'!$A$6:$I$335,MATCH('Payment by Source'!$A157,'Budget by Source'!$A$6:$A$335,0),MATCH(S$3,'Budget by Source'!$A$5:$I$5,0))-(ROUND(INDEX('Budget by Source'!$A$6:$I$335,MATCH('Payment by Source'!$A157,'Budget by Source'!$A$6:$A$335,0),MATCH(S$3,'Budget by Source'!$A$5:$I$5,0))/10,0)*10)</f>
        <v>1</v>
      </c>
      <c r="T157" s="158">
        <f>INDEX('Budget by Source'!$A$6:$I$335,MATCH('Payment by Source'!$A157,'Budget by Source'!$A$6:$A$335,0),MATCH(T$3,'Budget by Source'!$A$5:$I$5,0))-(ROUND(INDEX('Budget by Source'!$A$6:$I$335,MATCH('Payment by Source'!$A157,'Budget by Source'!$A$6:$A$335,0),MATCH(T$3,'Budget by Source'!$A$5:$I$5,0))/10,0)*10)</f>
        <v>2</v>
      </c>
      <c r="U157" s="159">
        <f>INDEX('Budget by Source'!$A$6:$I$335,MATCH('Payment by Source'!$A157,'Budget by Source'!$A$6:$A$335,0),MATCH(U$3,'Budget by Source'!$A$5:$I$5,0))</f>
        <v>4326250</v>
      </c>
      <c r="V157" s="156">
        <f t="shared" si="7"/>
        <v>432625</v>
      </c>
      <c r="W157" s="156">
        <f t="shared" si="8"/>
        <v>4326250</v>
      </c>
    </row>
    <row r="158" spans="1:23" x14ac:dyDescent="0.2">
      <c r="A158" s="23" t="str">
        <f>Data!B154</f>
        <v>3231</v>
      </c>
      <c r="B158" s="21" t="str">
        <f>INDEX(Data[],MATCH($A158,Data[Dist],0),MATCH(B$5,Data[#Headers],0))</f>
        <v>Johnston</v>
      </c>
      <c r="C158" s="22">
        <f>IF(Notes!$B$2="June",ROUND('Budget by Source'!C158/10,0)+P158,ROUND('Budget by Source'!C158/10,0))</f>
        <v>89817</v>
      </c>
      <c r="D158" s="22">
        <f>IF(Notes!$B$2="June",ROUND('Budget by Source'!D158/10,0)+Q158,ROUND('Budget by Source'!D158/10,0))</f>
        <v>382317</v>
      </c>
      <c r="E158" s="22">
        <f>IF(Notes!$B$2="June",ROUND('Budget by Source'!E158/10,0)+R158,ROUND('Budget by Source'!E158/10,0))</f>
        <v>41593</v>
      </c>
      <c r="F158" s="22">
        <f>IF(Notes!$B$2="June",ROUND('Budget by Source'!F158/10,0)+S158,ROUND('Budget by Source'!F158/10,0))</f>
        <v>42427</v>
      </c>
      <c r="G158" s="22">
        <f>IF(Notes!$B$2="June",ROUND('Budget by Source'!G158/10,0)+T158,ROUND('Budget by Source'!G158/10,0))</f>
        <v>230973</v>
      </c>
      <c r="H158" s="22">
        <f t="shared" si="6"/>
        <v>3317760</v>
      </c>
      <c r="I158" s="22">
        <f>INDEX(Data[],MATCH($A158,Data[Dist],0),MATCH(I$5,Data[#Headers],0))</f>
        <v>4104887</v>
      </c>
      <c r="K158" s="70">
        <f>INDEX('Payment Total'!$A$7:$H$336,MATCH('Payment by Source'!$A158,'Payment Total'!$A$7:$A$336,0),6)-I158</f>
        <v>0</v>
      </c>
      <c r="P158" s="158">
        <f>INDEX('Budget by Source'!$A$6:$I$335,MATCH('Payment by Source'!$A158,'Budget by Source'!$A$6:$A$335,0),MATCH(P$3,'Budget by Source'!$A$5:$I$5,0))-(ROUND(INDEX('Budget by Source'!$A$6:$I$335,MATCH('Payment by Source'!$A158,'Budget by Source'!$A$6:$A$335,0),MATCH(P$3,'Budget by Source'!$A$5:$I$5,0))/10,0)*10)</f>
        <v>-1</v>
      </c>
      <c r="Q158" s="158">
        <f>INDEX('Budget by Source'!$A$6:$I$335,MATCH('Payment by Source'!$A158,'Budget by Source'!$A$6:$A$335,0),MATCH(Q$3,'Budget by Source'!$A$5:$I$5,0))-(ROUND(INDEX('Budget by Source'!$A$6:$I$335,MATCH('Payment by Source'!$A158,'Budget by Source'!$A$6:$A$335,0),MATCH(Q$3,'Budget by Source'!$A$5:$I$5,0))/10,0)*10)</f>
        <v>-3</v>
      </c>
      <c r="R158" s="158">
        <f>INDEX('Budget by Source'!$A$6:$I$335,MATCH('Payment by Source'!$A158,'Budget by Source'!$A$6:$A$335,0),MATCH(R$3,'Budget by Source'!$A$5:$I$5,0))-(ROUND(INDEX('Budget by Source'!$A$6:$I$335,MATCH('Payment by Source'!$A158,'Budget by Source'!$A$6:$A$335,0),MATCH(R$3,'Budget by Source'!$A$5:$I$5,0))/10,0)*10)</f>
        <v>-3</v>
      </c>
      <c r="S158" s="158">
        <f>INDEX('Budget by Source'!$A$6:$I$335,MATCH('Payment by Source'!$A158,'Budget by Source'!$A$6:$A$335,0),MATCH(S$3,'Budget by Source'!$A$5:$I$5,0))-(ROUND(INDEX('Budget by Source'!$A$6:$I$335,MATCH('Payment by Source'!$A158,'Budget by Source'!$A$6:$A$335,0),MATCH(S$3,'Budget by Source'!$A$5:$I$5,0))/10,0)*10)</f>
        <v>4</v>
      </c>
      <c r="T158" s="158">
        <f>INDEX('Budget by Source'!$A$6:$I$335,MATCH('Payment by Source'!$A158,'Budget by Source'!$A$6:$A$335,0),MATCH(T$3,'Budget by Source'!$A$5:$I$5,0))-(ROUND(INDEX('Budget by Source'!$A$6:$I$335,MATCH('Payment by Source'!$A158,'Budget by Source'!$A$6:$A$335,0),MATCH(T$3,'Budget by Source'!$A$5:$I$5,0))/10,0)*10)</f>
        <v>4</v>
      </c>
      <c r="U158" s="159">
        <f>INDEX('Budget by Source'!$A$6:$I$335,MATCH('Payment by Source'!$A158,'Budget by Source'!$A$6:$A$335,0),MATCH(U$3,'Budget by Source'!$A$5:$I$5,0))</f>
        <v>33295431</v>
      </c>
      <c r="V158" s="156">
        <f t="shared" si="7"/>
        <v>3329543</v>
      </c>
      <c r="W158" s="156">
        <f t="shared" si="8"/>
        <v>33295430</v>
      </c>
    </row>
    <row r="159" spans="1:23" x14ac:dyDescent="0.2">
      <c r="A159" s="23" t="str">
        <f>Data!B155</f>
        <v>3312</v>
      </c>
      <c r="B159" s="21" t="str">
        <f>INDEX(Data[],MATCH($A159,Data[Dist],0),MATCH(B$5,Data[#Headers],0))</f>
        <v>Keokuk</v>
      </c>
      <c r="C159" s="22">
        <f>IF(Notes!$B$2="June",ROUND('Budget by Source'!C159/10,0)+P159,ROUND('Budget by Source'!C159/10,0))</f>
        <v>33515</v>
      </c>
      <c r="D159" s="22">
        <f>IF(Notes!$B$2="June",ROUND('Budget by Source'!D159/10,0)+Q159,ROUND('Budget by Source'!D159/10,0))</f>
        <v>108772</v>
      </c>
      <c r="E159" s="22">
        <f>IF(Notes!$B$2="June",ROUND('Budget by Source'!E159/10,0)+R159,ROUND('Budget by Source'!E159/10,0))</f>
        <v>13958</v>
      </c>
      <c r="F159" s="22">
        <f>IF(Notes!$B$2="June",ROUND('Budget by Source'!F159/10,0)+S159,ROUND('Budget by Source'!F159/10,0))</f>
        <v>12928</v>
      </c>
      <c r="G159" s="22">
        <f>IF(Notes!$B$2="June",ROUND('Budget by Source'!G159/10,0)+T159,ROUND('Budget by Source'!G159/10,0))</f>
        <v>62349</v>
      </c>
      <c r="H159" s="22">
        <f t="shared" si="6"/>
        <v>1167986</v>
      </c>
      <c r="I159" s="22">
        <f>INDEX(Data[],MATCH($A159,Data[Dist],0),MATCH(I$5,Data[#Headers],0))</f>
        <v>1399508</v>
      </c>
      <c r="K159" s="70">
        <f>INDEX('Payment Total'!$A$7:$H$336,MATCH('Payment by Source'!$A159,'Payment Total'!$A$7:$A$336,0),6)-I159</f>
        <v>0</v>
      </c>
      <c r="P159" s="158">
        <f>INDEX('Budget by Source'!$A$6:$I$335,MATCH('Payment by Source'!$A159,'Budget by Source'!$A$6:$A$335,0),MATCH(P$3,'Budget by Source'!$A$5:$I$5,0))-(ROUND(INDEX('Budget by Source'!$A$6:$I$335,MATCH('Payment by Source'!$A159,'Budget by Source'!$A$6:$A$335,0),MATCH(P$3,'Budget by Source'!$A$5:$I$5,0))/10,0)*10)</f>
        <v>1</v>
      </c>
      <c r="Q159" s="158">
        <f>INDEX('Budget by Source'!$A$6:$I$335,MATCH('Payment by Source'!$A159,'Budget by Source'!$A$6:$A$335,0),MATCH(Q$3,'Budget by Source'!$A$5:$I$5,0))-(ROUND(INDEX('Budget by Source'!$A$6:$I$335,MATCH('Payment by Source'!$A159,'Budget by Source'!$A$6:$A$335,0),MATCH(Q$3,'Budget by Source'!$A$5:$I$5,0))/10,0)*10)</f>
        <v>-5</v>
      </c>
      <c r="R159" s="158">
        <f>INDEX('Budget by Source'!$A$6:$I$335,MATCH('Payment by Source'!$A159,'Budget by Source'!$A$6:$A$335,0),MATCH(R$3,'Budget by Source'!$A$5:$I$5,0))-(ROUND(INDEX('Budget by Source'!$A$6:$I$335,MATCH('Payment by Source'!$A159,'Budget by Source'!$A$6:$A$335,0),MATCH(R$3,'Budget by Source'!$A$5:$I$5,0))/10,0)*10)</f>
        <v>0</v>
      </c>
      <c r="S159" s="158">
        <f>INDEX('Budget by Source'!$A$6:$I$335,MATCH('Payment by Source'!$A159,'Budget by Source'!$A$6:$A$335,0),MATCH(S$3,'Budget by Source'!$A$5:$I$5,0))-(ROUND(INDEX('Budget by Source'!$A$6:$I$335,MATCH('Payment by Source'!$A159,'Budget by Source'!$A$6:$A$335,0),MATCH(S$3,'Budget by Source'!$A$5:$I$5,0))/10,0)*10)</f>
        <v>-5</v>
      </c>
      <c r="T159" s="158">
        <f>INDEX('Budget by Source'!$A$6:$I$335,MATCH('Payment by Source'!$A159,'Budget by Source'!$A$6:$A$335,0),MATCH(T$3,'Budget by Source'!$A$5:$I$5,0))-(ROUND(INDEX('Budget by Source'!$A$6:$I$335,MATCH('Payment by Source'!$A159,'Budget by Source'!$A$6:$A$335,0),MATCH(T$3,'Budget by Source'!$A$5:$I$5,0))/10,0)*10)</f>
        <v>-3</v>
      </c>
      <c r="U159" s="159">
        <f>INDEX('Budget by Source'!$A$6:$I$335,MATCH('Payment by Source'!$A159,'Budget by Source'!$A$6:$A$335,0),MATCH(U$3,'Budget by Source'!$A$5:$I$5,0))</f>
        <v>11711568</v>
      </c>
      <c r="V159" s="156">
        <f t="shared" si="7"/>
        <v>1171157</v>
      </c>
      <c r="W159" s="156">
        <f t="shared" si="8"/>
        <v>11711570</v>
      </c>
    </row>
    <row r="160" spans="1:23" x14ac:dyDescent="0.2">
      <c r="A160" s="23" t="str">
        <f>Data!B156</f>
        <v>3330</v>
      </c>
      <c r="B160" s="21" t="str">
        <f>INDEX(Data[],MATCH($A160,Data[Dist],0),MATCH(B$5,Data[#Headers],0))</f>
        <v>Keota</v>
      </c>
      <c r="C160" s="22">
        <f>IF(Notes!$B$2="June",ROUND('Budget by Source'!C160/10,0)+P160,ROUND('Budget by Source'!C160/10,0))</f>
        <v>7038</v>
      </c>
      <c r="D160" s="22">
        <f>IF(Notes!$B$2="June",ROUND('Budget by Source'!D160/10,0)+Q160,ROUND('Budget by Source'!D160/10,0))</f>
        <v>21520</v>
      </c>
      <c r="E160" s="22">
        <f>IF(Notes!$B$2="June",ROUND('Budget by Source'!E160/10,0)+R160,ROUND('Budget by Source'!E160/10,0))</f>
        <v>2064</v>
      </c>
      <c r="F160" s="22">
        <f>IF(Notes!$B$2="June",ROUND('Budget by Source'!F160/10,0)+S160,ROUND('Budget by Source'!F160/10,0))</f>
        <v>2256</v>
      </c>
      <c r="G160" s="22">
        <f>IF(Notes!$B$2="June",ROUND('Budget by Source'!G160/10,0)+T160,ROUND('Budget by Source'!G160/10,0))</f>
        <v>11283</v>
      </c>
      <c r="H160" s="22">
        <f t="shared" si="6"/>
        <v>143628</v>
      </c>
      <c r="I160" s="22">
        <f>INDEX(Data[],MATCH($A160,Data[Dist],0),MATCH(I$5,Data[#Headers],0))</f>
        <v>187789</v>
      </c>
      <c r="K160" s="70">
        <f>INDEX('Payment Total'!$A$7:$H$336,MATCH('Payment by Source'!$A160,'Payment Total'!$A$7:$A$336,0),6)-I160</f>
        <v>0</v>
      </c>
      <c r="P160" s="158">
        <f>INDEX('Budget by Source'!$A$6:$I$335,MATCH('Payment by Source'!$A160,'Budget by Source'!$A$6:$A$335,0),MATCH(P$3,'Budget by Source'!$A$5:$I$5,0))-(ROUND(INDEX('Budget by Source'!$A$6:$I$335,MATCH('Payment by Source'!$A160,'Budget by Source'!$A$6:$A$335,0),MATCH(P$3,'Budget by Source'!$A$5:$I$5,0))/10,0)*10)</f>
        <v>0</v>
      </c>
      <c r="Q160" s="158">
        <f>INDEX('Budget by Source'!$A$6:$I$335,MATCH('Payment by Source'!$A160,'Budget by Source'!$A$6:$A$335,0),MATCH(Q$3,'Budget by Source'!$A$5:$I$5,0))-(ROUND(INDEX('Budget by Source'!$A$6:$I$335,MATCH('Payment by Source'!$A160,'Budget by Source'!$A$6:$A$335,0),MATCH(Q$3,'Budget by Source'!$A$5:$I$5,0))/10,0)*10)</f>
        <v>0</v>
      </c>
      <c r="R160" s="158">
        <f>INDEX('Budget by Source'!$A$6:$I$335,MATCH('Payment by Source'!$A160,'Budget by Source'!$A$6:$A$335,0),MATCH(R$3,'Budget by Source'!$A$5:$I$5,0))-(ROUND(INDEX('Budget by Source'!$A$6:$I$335,MATCH('Payment by Source'!$A160,'Budget by Source'!$A$6:$A$335,0),MATCH(R$3,'Budget by Source'!$A$5:$I$5,0))/10,0)*10)</f>
        <v>-5</v>
      </c>
      <c r="S160" s="158">
        <f>INDEX('Budget by Source'!$A$6:$I$335,MATCH('Payment by Source'!$A160,'Budget by Source'!$A$6:$A$335,0),MATCH(S$3,'Budget by Source'!$A$5:$I$5,0))-(ROUND(INDEX('Budget by Source'!$A$6:$I$335,MATCH('Payment by Source'!$A160,'Budget by Source'!$A$6:$A$335,0),MATCH(S$3,'Budget by Source'!$A$5:$I$5,0))/10,0)*10)</f>
        <v>4</v>
      </c>
      <c r="T160" s="158">
        <f>INDEX('Budget by Source'!$A$6:$I$335,MATCH('Payment by Source'!$A160,'Budget by Source'!$A$6:$A$335,0),MATCH(T$3,'Budget by Source'!$A$5:$I$5,0))-(ROUND(INDEX('Budget by Source'!$A$6:$I$335,MATCH('Payment by Source'!$A160,'Budget by Source'!$A$6:$A$335,0),MATCH(T$3,'Budget by Source'!$A$5:$I$5,0))/10,0)*10)</f>
        <v>1</v>
      </c>
      <c r="U160" s="159">
        <f>INDEX('Budget by Source'!$A$6:$I$335,MATCH('Payment by Source'!$A160,'Budget by Source'!$A$6:$A$335,0),MATCH(U$3,'Budget by Source'!$A$5:$I$5,0))</f>
        <v>1441969</v>
      </c>
      <c r="V160" s="156">
        <f t="shared" si="7"/>
        <v>144197</v>
      </c>
      <c r="W160" s="156">
        <f t="shared" si="8"/>
        <v>1441970</v>
      </c>
    </row>
    <row r="161" spans="1:23" x14ac:dyDescent="0.2">
      <c r="A161" s="23" t="str">
        <f>Data!B157</f>
        <v>3348</v>
      </c>
      <c r="B161" s="21" t="str">
        <f>INDEX(Data[],MATCH($A161,Data[Dist],0),MATCH(B$5,Data[#Headers],0))</f>
        <v>Kingsley-Pierson</v>
      </c>
      <c r="C161" s="22">
        <f>IF(Notes!$B$2="June",ROUND('Budget by Source'!C161/10,0)+P161,ROUND('Budget by Source'!C161/10,0))</f>
        <v>0</v>
      </c>
      <c r="D161" s="22">
        <f>IF(Notes!$B$2="June",ROUND('Budget by Source'!D161/10,0)+Q161,ROUND('Budget by Source'!D161/10,0))</f>
        <v>28681</v>
      </c>
      <c r="E161" s="22">
        <f>IF(Notes!$B$2="June",ROUND('Budget by Source'!E161/10,0)+R161,ROUND('Budget by Source'!E161/10,0))</f>
        <v>3628</v>
      </c>
      <c r="F161" s="22">
        <f>IF(Notes!$B$2="June",ROUND('Budget by Source'!F161/10,0)+S161,ROUND('Budget by Source'!F161/10,0))</f>
        <v>3328</v>
      </c>
      <c r="G161" s="22">
        <f>IF(Notes!$B$2="June",ROUND('Budget by Source'!G161/10,0)+T161,ROUND('Budget by Source'!G161/10,0))</f>
        <v>15110</v>
      </c>
      <c r="H161" s="22">
        <f t="shared" si="6"/>
        <v>207391</v>
      </c>
      <c r="I161" s="22">
        <f>INDEX(Data[],MATCH($A161,Data[Dist],0),MATCH(I$5,Data[#Headers],0))</f>
        <v>258138</v>
      </c>
      <c r="K161" s="70">
        <f>INDEX('Payment Total'!$A$7:$H$336,MATCH('Payment by Source'!$A161,'Payment Total'!$A$7:$A$336,0),6)-I161</f>
        <v>0</v>
      </c>
      <c r="P161" s="158">
        <f>INDEX('Budget by Source'!$A$6:$I$335,MATCH('Payment by Source'!$A161,'Budget by Source'!$A$6:$A$335,0),MATCH(P$3,'Budget by Source'!$A$5:$I$5,0))-(ROUND(INDEX('Budget by Source'!$A$6:$I$335,MATCH('Payment by Source'!$A161,'Budget by Source'!$A$6:$A$335,0),MATCH(P$3,'Budget by Source'!$A$5:$I$5,0))/10,0)*10)</f>
        <v>0</v>
      </c>
      <c r="Q161" s="158">
        <f>INDEX('Budget by Source'!$A$6:$I$335,MATCH('Payment by Source'!$A161,'Budget by Source'!$A$6:$A$335,0),MATCH(Q$3,'Budget by Source'!$A$5:$I$5,0))-(ROUND(INDEX('Budget by Source'!$A$6:$I$335,MATCH('Payment by Source'!$A161,'Budget by Source'!$A$6:$A$335,0),MATCH(Q$3,'Budget by Source'!$A$5:$I$5,0))/10,0)*10)</f>
        <v>-1</v>
      </c>
      <c r="R161" s="158">
        <f>INDEX('Budget by Source'!$A$6:$I$335,MATCH('Payment by Source'!$A161,'Budget by Source'!$A$6:$A$335,0),MATCH(R$3,'Budget by Source'!$A$5:$I$5,0))-(ROUND(INDEX('Budget by Source'!$A$6:$I$335,MATCH('Payment by Source'!$A161,'Budget by Source'!$A$6:$A$335,0),MATCH(R$3,'Budget by Source'!$A$5:$I$5,0))/10,0)*10)</f>
        <v>2</v>
      </c>
      <c r="S161" s="158">
        <f>INDEX('Budget by Source'!$A$6:$I$335,MATCH('Payment by Source'!$A161,'Budget by Source'!$A$6:$A$335,0),MATCH(S$3,'Budget by Source'!$A$5:$I$5,0))-(ROUND(INDEX('Budget by Source'!$A$6:$I$335,MATCH('Payment by Source'!$A161,'Budget by Source'!$A$6:$A$335,0),MATCH(S$3,'Budget by Source'!$A$5:$I$5,0))/10,0)*10)</f>
        <v>3</v>
      </c>
      <c r="T161" s="158">
        <f>INDEX('Budget by Source'!$A$6:$I$335,MATCH('Payment by Source'!$A161,'Budget by Source'!$A$6:$A$335,0),MATCH(T$3,'Budget by Source'!$A$5:$I$5,0))-(ROUND(INDEX('Budget by Source'!$A$6:$I$335,MATCH('Payment by Source'!$A161,'Budget by Source'!$A$6:$A$335,0),MATCH(T$3,'Budget by Source'!$A$5:$I$5,0))/10,0)*10)</f>
        <v>4</v>
      </c>
      <c r="U161" s="159">
        <f>INDEX('Budget by Source'!$A$6:$I$335,MATCH('Payment by Source'!$A161,'Budget by Source'!$A$6:$A$335,0),MATCH(U$3,'Budget by Source'!$A$5:$I$5,0))</f>
        <v>2081582</v>
      </c>
      <c r="V161" s="156">
        <f t="shared" si="7"/>
        <v>208158</v>
      </c>
      <c r="W161" s="156">
        <f t="shared" si="8"/>
        <v>2081580</v>
      </c>
    </row>
    <row r="162" spans="1:23" x14ac:dyDescent="0.2">
      <c r="A162" s="23" t="str">
        <f>Data!B158</f>
        <v>3375</v>
      </c>
      <c r="B162" s="21" t="str">
        <f>INDEX(Data[],MATCH($A162,Data[Dist],0),MATCH(B$5,Data[#Headers],0))</f>
        <v>Knoxville</v>
      </c>
      <c r="C162" s="22">
        <f>IF(Notes!$B$2="June",ROUND('Budget by Source'!C162/10,0)+P162,ROUND('Budget by Source'!C162/10,0))</f>
        <v>32170</v>
      </c>
      <c r="D162" s="22">
        <f>IF(Notes!$B$2="June",ROUND('Budget by Source'!D162/10,0)+Q162,ROUND('Budget by Source'!D162/10,0))</f>
        <v>102852</v>
      </c>
      <c r="E162" s="22">
        <f>IF(Notes!$B$2="June",ROUND('Budget by Source'!E162/10,0)+R162,ROUND('Budget by Source'!E162/10,0))</f>
        <v>12170</v>
      </c>
      <c r="F162" s="22">
        <f>IF(Notes!$B$2="June",ROUND('Budget by Source'!F162/10,0)+S162,ROUND('Budget by Source'!F162/10,0))</f>
        <v>11005</v>
      </c>
      <c r="G162" s="22">
        <f>IF(Notes!$B$2="June",ROUND('Budget by Source'!G162/10,0)+T162,ROUND('Budget by Source'!G162/10,0))</f>
        <v>57594</v>
      </c>
      <c r="H162" s="22">
        <f t="shared" si="6"/>
        <v>998390</v>
      </c>
      <c r="I162" s="22">
        <f>INDEX(Data[],MATCH($A162,Data[Dist],0),MATCH(I$5,Data[#Headers],0))</f>
        <v>1214181</v>
      </c>
      <c r="K162" s="70">
        <f>INDEX('Payment Total'!$A$7:$H$336,MATCH('Payment by Source'!$A162,'Payment Total'!$A$7:$A$336,0),6)-I162</f>
        <v>0</v>
      </c>
      <c r="P162" s="158">
        <f>INDEX('Budget by Source'!$A$6:$I$335,MATCH('Payment by Source'!$A162,'Budget by Source'!$A$6:$A$335,0),MATCH(P$3,'Budget by Source'!$A$5:$I$5,0))-(ROUND(INDEX('Budget by Source'!$A$6:$I$335,MATCH('Payment by Source'!$A162,'Budget by Source'!$A$6:$A$335,0),MATCH(P$3,'Budget by Source'!$A$5:$I$5,0))/10,0)*10)</f>
        <v>-4</v>
      </c>
      <c r="Q162" s="158">
        <f>INDEX('Budget by Source'!$A$6:$I$335,MATCH('Payment by Source'!$A162,'Budget by Source'!$A$6:$A$335,0),MATCH(Q$3,'Budget by Source'!$A$5:$I$5,0))-(ROUND(INDEX('Budget by Source'!$A$6:$I$335,MATCH('Payment by Source'!$A162,'Budget by Source'!$A$6:$A$335,0),MATCH(Q$3,'Budget by Source'!$A$5:$I$5,0))/10,0)*10)</f>
        <v>-5</v>
      </c>
      <c r="R162" s="158">
        <f>INDEX('Budget by Source'!$A$6:$I$335,MATCH('Payment by Source'!$A162,'Budget by Source'!$A$6:$A$335,0),MATCH(R$3,'Budget by Source'!$A$5:$I$5,0))-(ROUND(INDEX('Budget by Source'!$A$6:$I$335,MATCH('Payment by Source'!$A162,'Budget by Source'!$A$6:$A$335,0),MATCH(R$3,'Budget by Source'!$A$5:$I$5,0))/10,0)*10)</f>
        <v>-1</v>
      </c>
      <c r="S162" s="158">
        <f>INDEX('Budget by Source'!$A$6:$I$335,MATCH('Payment by Source'!$A162,'Budget by Source'!$A$6:$A$335,0),MATCH(S$3,'Budget by Source'!$A$5:$I$5,0))-(ROUND(INDEX('Budget by Source'!$A$6:$I$335,MATCH('Payment by Source'!$A162,'Budget by Source'!$A$6:$A$335,0),MATCH(S$3,'Budget by Source'!$A$5:$I$5,0))/10,0)*10)</f>
        <v>2</v>
      </c>
      <c r="T162" s="158">
        <f>INDEX('Budget by Source'!$A$6:$I$335,MATCH('Payment by Source'!$A162,'Budget by Source'!$A$6:$A$335,0),MATCH(T$3,'Budget by Source'!$A$5:$I$5,0))-(ROUND(INDEX('Budget by Source'!$A$6:$I$335,MATCH('Payment by Source'!$A162,'Budget by Source'!$A$6:$A$335,0),MATCH(T$3,'Budget by Source'!$A$5:$I$5,0))/10,0)*10)</f>
        <v>3</v>
      </c>
      <c r="U162" s="159">
        <f>INDEX('Budget by Source'!$A$6:$I$335,MATCH('Payment by Source'!$A162,'Budget by Source'!$A$6:$A$335,0),MATCH(U$3,'Budget by Source'!$A$5:$I$5,0))</f>
        <v>10013231</v>
      </c>
      <c r="V162" s="156">
        <f t="shared" si="7"/>
        <v>1001323</v>
      </c>
      <c r="W162" s="156">
        <f t="shared" si="8"/>
        <v>10013230</v>
      </c>
    </row>
    <row r="163" spans="1:23" x14ac:dyDescent="0.2">
      <c r="A163" s="23" t="str">
        <f>Data!B159</f>
        <v>3420</v>
      </c>
      <c r="B163" s="21" t="str">
        <f>INDEX(Data[],MATCH($A163,Data[Dist],0),MATCH(B$5,Data[#Headers],0))</f>
        <v>Lake Mills</v>
      </c>
      <c r="C163" s="22">
        <f>IF(Notes!$B$2="June",ROUND('Budget by Source'!C163/10,0)+P163,ROUND('Budget by Source'!C163/10,0))</f>
        <v>11393</v>
      </c>
      <c r="D163" s="22">
        <f>IF(Notes!$B$2="June",ROUND('Budget by Source'!D163/10,0)+Q163,ROUND('Budget by Source'!D163/10,0))</f>
        <v>37882</v>
      </c>
      <c r="E163" s="22">
        <f>IF(Notes!$B$2="June",ROUND('Budget by Source'!E163/10,0)+R163,ROUND('Budget by Source'!E163/10,0))</f>
        <v>4455</v>
      </c>
      <c r="F163" s="22">
        <f>IF(Notes!$B$2="June",ROUND('Budget by Source'!F163/10,0)+S163,ROUND('Budget by Source'!F163/10,0))</f>
        <v>3888</v>
      </c>
      <c r="G163" s="22">
        <f>IF(Notes!$B$2="June",ROUND('Budget by Source'!G163/10,0)+T163,ROUND('Budget by Source'!G163/10,0))</f>
        <v>20064</v>
      </c>
      <c r="H163" s="22">
        <f t="shared" si="6"/>
        <v>277744</v>
      </c>
      <c r="I163" s="22">
        <f>INDEX(Data[],MATCH($A163,Data[Dist],0),MATCH(I$5,Data[#Headers],0))</f>
        <v>355426</v>
      </c>
      <c r="K163" s="70">
        <f>INDEX('Payment Total'!$A$7:$H$336,MATCH('Payment by Source'!$A163,'Payment Total'!$A$7:$A$336,0),6)-I163</f>
        <v>0</v>
      </c>
      <c r="P163" s="158">
        <f>INDEX('Budget by Source'!$A$6:$I$335,MATCH('Payment by Source'!$A163,'Budget by Source'!$A$6:$A$335,0),MATCH(P$3,'Budget by Source'!$A$5:$I$5,0))-(ROUND(INDEX('Budget by Source'!$A$6:$I$335,MATCH('Payment by Source'!$A163,'Budget by Source'!$A$6:$A$335,0),MATCH(P$3,'Budget by Source'!$A$5:$I$5,0))/10,0)*10)</f>
        <v>-2</v>
      </c>
      <c r="Q163" s="158">
        <f>INDEX('Budget by Source'!$A$6:$I$335,MATCH('Payment by Source'!$A163,'Budget by Source'!$A$6:$A$335,0),MATCH(Q$3,'Budget by Source'!$A$5:$I$5,0))-(ROUND(INDEX('Budget by Source'!$A$6:$I$335,MATCH('Payment by Source'!$A163,'Budget by Source'!$A$6:$A$335,0),MATCH(Q$3,'Budget by Source'!$A$5:$I$5,0))/10,0)*10)</f>
        <v>4</v>
      </c>
      <c r="R163" s="158">
        <f>INDEX('Budget by Source'!$A$6:$I$335,MATCH('Payment by Source'!$A163,'Budget by Source'!$A$6:$A$335,0),MATCH(R$3,'Budget by Source'!$A$5:$I$5,0))-(ROUND(INDEX('Budget by Source'!$A$6:$I$335,MATCH('Payment by Source'!$A163,'Budget by Source'!$A$6:$A$335,0),MATCH(R$3,'Budget by Source'!$A$5:$I$5,0))/10,0)*10)</f>
        <v>-5</v>
      </c>
      <c r="S163" s="158">
        <f>INDEX('Budget by Source'!$A$6:$I$335,MATCH('Payment by Source'!$A163,'Budget by Source'!$A$6:$A$335,0),MATCH(S$3,'Budget by Source'!$A$5:$I$5,0))-(ROUND(INDEX('Budget by Source'!$A$6:$I$335,MATCH('Payment by Source'!$A163,'Budget by Source'!$A$6:$A$335,0),MATCH(S$3,'Budget by Source'!$A$5:$I$5,0))/10,0)*10)</f>
        <v>-4</v>
      </c>
      <c r="T163" s="158">
        <f>INDEX('Budget by Source'!$A$6:$I$335,MATCH('Payment by Source'!$A163,'Budget by Source'!$A$6:$A$335,0),MATCH(T$3,'Budget by Source'!$A$5:$I$5,0))-(ROUND(INDEX('Budget by Source'!$A$6:$I$335,MATCH('Payment by Source'!$A163,'Budget by Source'!$A$6:$A$335,0),MATCH(T$3,'Budget by Source'!$A$5:$I$5,0))/10,0)*10)</f>
        <v>-3</v>
      </c>
      <c r="U163" s="159">
        <f>INDEX('Budget by Source'!$A$6:$I$335,MATCH('Payment by Source'!$A163,'Budget by Source'!$A$6:$A$335,0),MATCH(U$3,'Budget by Source'!$A$5:$I$5,0))</f>
        <v>2787579</v>
      </c>
      <c r="V163" s="156">
        <f t="shared" si="7"/>
        <v>278758</v>
      </c>
      <c r="W163" s="156">
        <f t="shared" si="8"/>
        <v>2787580</v>
      </c>
    </row>
    <row r="164" spans="1:23" x14ac:dyDescent="0.2">
      <c r="A164" s="23" t="str">
        <f>Data!B160</f>
        <v>3465</v>
      </c>
      <c r="B164" s="21" t="str">
        <f>INDEX(Data[],MATCH($A164,Data[Dist],0),MATCH(B$5,Data[#Headers],0))</f>
        <v>Lamoni</v>
      </c>
      <c r="C164" s="22">
        <f>IF(Notes!$B$2="June",ROUND('Budget by Source'!C164/10,0)+P164,ROUND('Budget by Source'!C164/10,0))</f>
        <v>8711</v>
      </c>
      <c r="D164" s="22">
        <f>IF(Notes!$B$2="June",ROUND('Budget by Source'!D164/10,0)+Q164,ROUND('Budget by Source'!D164/10,0))</f>
        <v>20236</v>
      </c>
      <c r="E164" s="22">
        <f>IF(Notes!$B$2="June",ROUND('Budget by Source'!E164/10,0)+R164,ROUND('Budget by Source'!E164/10,0))</f>
        <v>2191</v>
      </c>
      <c r="F164" s="22">
        <f>IF(Notes!$B$2="June",ROUND('Budget by Source'!F164/10,0)+S164,ROUND('Budget by Source'!F164/10,0))</f>
        <v>2182</v>
      </c>
      <c r="G164" s="22">
        <f>IF(Notes!$B$2="June",ROUND('Budget by Source'!G164/10,0)+T164,ROUND('Budget by Source'!G164/10,0))</f>
        <v>9998</v>
      </c>
      <c r="H164" s="22">
        <f t="shared" si="6"/>
        <v>160222</v>
      </c>
      <c r="I164" s="22">
        <f>INDEX(Data[],MATCH($A164,Data[Dist],0),MATCH(I$5,Data[#Headers],0))</f>
        <v>203540</v>
      </c>
      <c r="K164" s="70">
        <f>INDEX('Payment Total'!$A$7:$H$336,MATCH('Payment by Source'!$A164,'Payment Total'!$A$7:$A$336,0),6)-I164</f>
        <v>0</v>
      </c>
      <c r="P164" s="158">
        <f>INDEX('Budget by Source'!$A$6:$I$335,MATCH('Payment by Source'!$A164,'Budget by Source'!$A$6:$A$335,0),MATCH(P$3,'Budget by Source'!$A$5:$I$5,0))-(ROUND(INDEX('Budget by Source'!$A$6:$I$335,MATCH('Payment by Source'!$A164,'Budget by Source'!$A$6:$A$335,0),MATCH(P$3,'Budget by Source'!$A$5:$I$5,0))/10,0)*10)</f>
        <v>-3</v>
      </c>
      <c r="Q164" s="158">
        <f>INDEX('Budget by Source'!$A$6:$I$335,MATCH('Payment by Source'!$A164,'Budget by Source'!$A$6:$A$335,0),MATCH(Q$3,'Budget by Source'!$A$5:$I$5,0))-(ROUND(INDEX('Budget by Source'!$A$6:$I$335,MATCH('Payment by Source'!$A164,'Budget by Source'!$A$6:$A$335,0),MATCH(Q$3,'Budget by Source'!$A$5:$I$5,0))/10,0)*10)</f>
        <v>2</v>
      </c>
      <c r="R164" s="158">
        <f>INDEX('Budget by Source'!$A$6:$I$335,MATCH('Payment by Source'!$A164,'Budget by Source'!$A$6:$A$335,0),MATCH(R$3,'Budget by Source'!$A$5:$I$5,0))-(ROUND(INDEX('Budget by Source'!$A$6:$I$335,MATCH('Payment by Source'!$A164,'Budget by Source'!$A$6:$A$335,0),MATCH(R$3,'Budget by Source'!$A$5:$I$5,0))/10,0)*10)</f>
        <v>0</v>
      </c>
      <c r="S164" s="158">
        <f>INDEX('Budget by Source'!$A$6:$I$335,MATCH('Payment by Source'!$A164,'Budget by Source'!$A$6:$A$335,0),MATCH(S$3,'Budget by Source'!$A$5:$I$5,0))-(ROUND(INDEX('Budget by Source'!$A$6:$I$335,MATCH('Payment by Source'!$A164,'Budget by Source'!$A$6:$A$335,0),MATCH(S$3,'Budget by Source'!$A$5:$I$5,0))/10,0)*10)</f>
        <v>2</v>
      </c>
      <c r="T164" s="158">
        <f>INDEX('Budget by Source'!$A$6:$I$335,MATCH('Payment by Source'!$A164,'Budget by Source'!$A$6:$A$335,0),MATCH(T$3,'Budget by Source'!$A$5:$I$5,0))-(ROUND(INDEX('Budget by Source'!$A$6:$I$335,MATCH('Payment by Source'!$A164,'Budget by Source'!$A$6:$A$335,0),MATCH(T$3,'Budget by Source'!$A$5:$I$5,0))/10,0)*10)</f>
        <v>-3</v>
      </c>
      <c r="U164" s="159">
        <f>INDEX('Budget by Source'!$A$6:$I$335,MATCH('Payment by Source'!$A164,'Budget by Source'!$A$6:$A$335,0),MATCH(U$3,'Budget by Source'!$A$5:$I$5,0))</f>
        <v>1607306</v>
      </c>
      <c r="V164" s="156">
        <f t="shared" si="7"/>
        <v>160731</v>
      </c>
      <c r="W164" s="156">
        <f t="shared" si="8"/>
        <v>1607310</v>
      </c>
    </row>
    <row r="165" spans="1:23" x14ac:dyDescent="0.2">
      <c r="A165" s="23" t="str">
        <f>Data!B161</f>
        <v>3537</v>
      </c>
      <c r="B165" s="21" t="str">
        <f>INDEX(Data[],MATCH($A165,Data[Dist],0),MATCH(B$5,Data[#Headers],0))</f>
        <v>Laurens-Marathon</v>
      </c>
      <c r="C165" s="22">
        <f>IF(Notes!$B$2="June",ROUND('Budget by Source'!C165/10,0)+P165,ROUND('Budget by Source'!C165/10,0))</f>
        <v>5701</v>
      </c>
      <c r="D165" s="22">
        <f>IF(Notes!$B$2="June",ROUND('Budget by Source'!D165/10,0)+Q165,ROUND('Budget by Source'!D165/10,0))</f>
        <v>18670</v>
      </c>
      <c r="E165" s="22">
        <f>IF(Notes!$B$2="June",ROUND('Budget by Source'!E165/10,0)+R165,ROUND('Budget by Source'!E165/10,0))</f>
        <v>1913</v>
      </c>
      <c r="F165" s="22">
        <f>IF(Notes!$B$2="June",ROUND('Budget by Source'!F165/10,0)+S165,ROUND('Budget by Source'!F165/10,0))</f>
        <v>2034</v>
      </c>
      <c r="G165" s="22">
        <f>IF(Notes!$B$2="June",ROUND('Budget by Source'!G165/10,0)+T165,ROUND('Budget by Source'!G165/10,0))</f>
        <v>9409</v>
      </c>
      <c r="H165" s="22">
        <f t="shared" si="6"/>
        <v>110586</v>
      </c>
      <c r="I165" s="22">
        <f>INDEX(Data[],MATCH($A165,Data[Dist],0),MATCH(I$5,Data[#Headers],0))</f>
        <v>148313</v>
      </c>
      <c r="K165" s="70">
        <f>INDEX('Payment Total'!$A$7:$H$336,MATCH('Payment by Source'!$A165,'Payment Total'!$A$7:$A$336,0),6)-I165</f>
        <v>0</v>
      </c>
      <c r="P165" s="158">
        <f>INDEX('Budget by Source'!$A$6:$I$335,MATCH('Payment by Source'!$A165,'Budget by Source'!$A$6:$A$335,0),MATCH(P$3,'Budget by Source'!$A$5:$I$5,0))-(ROUND(INDEX('Budget by Source'!$A$6:$I$335,MATCH('Payment by Source'!$A165,'Budget by Source'!$A$6:$A$335,0),MATCH(P$3,'Budget by Source'!$A$5:$I$5,0))/10,0)*10)</f>
        <v>4</v>
      </c>
      <c r="Q165" s="158">
        <f>INDEX('Budget by Source'!$A$6:$I$335,MATCH('Payment by Source'!$A165,'Budget by Source'!$A$6:$A$335,0),MATCH(Q$3,'Budget by Source'!$A$5:$I$5,0))-(ROUND(INDEX('Budget by Source'!$A$6:$I$335,MATCH('Payment by Source'!$A165,'Budget by Source'!$A$6:$A$335,0),MATCH(Q$3,'Budget by Source'!$A$5:$I$5,0))/10,0)*10)</f>
        <v>-1</v>
      </c>
      <c r="R165" s="158">
        <f>INDEX('Budget by Source'!$A$6:$I$335,MATCH('Payment by Source'!$A165,'Budget by Source'!$A$6:$A$335,0),MATCH(R$3,'Budget by Source'!$A$5:$I$5,0))-(ROUND(INDEX('Budget by Source'!$A$6:$I$335,MATCH('Payment by Source'!$A165,'Budget by Source'!$A$6:$A$335,0),MATCH(R$3,'Budget by Source'!$A$5:$I$5,0))/10,0)*10)</f>
        <v>-2</v>
      </c>
      <c r="S165" s="158">
        <f>INDEX('Budget by Source'!$A$6:$I$335,MATCH('Payment by Source'!$A165,'Budget by Source'!$A$6:$A$335,0),MATCH(S$3,'Budget by Source'!$A$5:$I$5,0))-(ROUND(INDEX('Budget by Source'!$A$6:$I$335,MATCH('Payment by Source'!$A165,'Budget by Source'!$A$6:$A$335,0),MATCH(S$3,'Budget by Source'!$A$5:$I$5,0))/10,0)*10)</f>
        <v>-2</v>
      </c>
      <c r="T165" s="158">
        <f>INDEX('Budget by Source'!$A$6:$I$335,MATCH('Payment by Source'!$A165,'Budget by Source'!$A$6:$A$335,0),MATCH(T$3,'Budget by Source'!$A$5:$I$5,0))-(ROUND(INDEX('Budget by Source'!$A$6:$I$335,MATCH('Payment by Source'!$A165,'Budget by Source'!$A$6:$A$335,0),MATCH(T$3,'Budget by Source'!$A$5:$I$5,0))/10,0)*10)</f>
        <v>2</v>
      </c>
      <c r="U165" s="159">
        <f>INDEX('Budget by Source'!$A$6:$I$335,MATCH('Payment by Source'!$A165,'Budget by Source'!$A$6:$A$335,0),MATCH(U$3,'Budget by Source'!$A$5:$I$5,0))</f>
        <v>1110567</v>
      </c>
      <c r="V165" s="156">
        <f t="shared" si="7"/>
        <v>111057</v>
      </c>
      <c r="W165" s="156">
        <f t="shared" si="8"/>
        <v>1110570</v>
      </c>
    </row>
    <row r="166" spans="1:23" x14ac:dyDescent="0.2">
      <c r="A166" s="23" t="str">
        <f>Data!B162</f>
        <v>3555</v>
      </c>
      <c r="B166" s="21" t="str">
        <f>INDEX(Data[],MATCH($A166,Data[Dist],0),MATCH(B$5,Data[#Headers],0))</f>
        <v>Lawton-Bronson</v>
      </c>
      <c r="C166" s="22">
        <f>IF(Notes!$B$2="June",ROUND('Budget by Source'!C166/10,0)+P166,ROUND('Budget by Source'!C166/10,0))</f>
        <v>12402</v>
      </c>
      <c r="D166" s="22">
        <f>IF(Notes!$B$2="June",ROUND('Budget by Source'!D166/10,0)+Q166,ROUND('Budget by Source'!D166/10,0))</f>
        <v>32899</v>
      </c>
      <c r="E166" s="22">
        <f>IF(Notes!$B$2="June",ROUND('Budget by Source'!E166/10,0)+R166,ROUND('Budget by Source'!E166/10,0))</f>
        <v>3356</v>
      </c>
      <c r="F166" s="22">
        <f>IF(Notes!$B$2="June",ROUND('Budget by Source'!F166/10,0)+S166,ROUND('Budget by Source'!F166/10,0))</f>
        <v>3487</v>
      </c>
      <c r="G166" s="22">
        <f>IF(Notes!$B$2="June",ROUND('Budget by Source'!G166/10,0)+T166,ROUND('Budget by Source'!G166/10,0))</f>
        <v>18812</v>
      </c>
      <c r="H166" s="22">
        <f t="shared" si="6"/>
        <v>256270</v>
      </c>
      <c r="I166" s="22">
        <f>INDEX(Data[],MATCH($A166,Data[Dist],0),MATCH(I$5,Data[#Headers],0))</f>
        <v>327226</v>
      </c>
      <c r="K166" s="70">
        <f>INDEX('Payment Total'!$A$7:$H$336,MATCH('Payment by Source'!$A166,'Payment Total'!$A$7:$A$336,0),6)-I166</f>
        <v>0</v>
      </c>
      <c r="P166" s="158">
        <f>INDEX('Budget by Source'!$A$6:$I$335,MATCH('Payment by Source'!$A166,'Budget by Source'!$A$6:$A$335,0),MATCH(P$3,'Budget by Source'!$A$5:$I$5,0))-(ROUND(INDEX('Budget by Source'!$A$6:$I$335,MATCH('Payment by Source'!$A166,'Budget by Source'!$A$6:$A$335,0),MATCH(P$3,'Budget by Source'!$A$5:$I$5,0))/10,0)*10)</f>
        <v>2</v>
      </c>
      <c r="Q166" s="158">
        <f>INDEX('Budget by Source'!$A$6:$I$335,MATCH('Payment by Source'!$A166,'Budget by Source'!$A$6:$A$335,0),MATCH(Q$3,'Budget by Source'!$A$5:$I$5,0))-(ROUND(INDEX('Budget by Source'!$A$6:$I$335,MATCH('Payment by Source'!$A166,'Budget by Source'!$A$6:$A$335,0),MATCH(Q$3,'Budget by Source'!$A$5:$I$5,0))/10,0)*10)</f>
        <v>4</v>
      </c>
      <c r="R166" s="158">
        <f>INDEX('Budget by Source'!$A$6:$I$335,MATCH('Payment by Source'!$A166,'Budget by Source'!$A$6:$A$335,0),MATCH(R$3,'Budget by Source'!$A$5:$I$5,0))-(ROUND(INDEX('Budget by Source'!$A$6:$I$335,MATCH('Payment by Source'!$A166,'Budget by Source'!$A$6:$A$335,0),MATCH(R$3,'Budget by Source'!$A$5:$I$5,0))/10,0)*10)</f>
        <v>1</v>
      </c>
      <c r="S166" s="158">
        <f>INDEX('Budget by Source'!$A$6:$I$335,MATCH('Payment by Source'!$A166,'Budget by Source'!$A$6:$A$335,0),MATCH(S$3,'Budget by Source'!$A$5:$I$5,0))-(ROUND(INDEX('Budget by Source'!$A$6:$I$335,MATCH('Payment by Source'!$A166,'Budget by Source'!$A$6:$A$335,0),MATCH(S$3,'Budget by Source'!$A$5:$I$5,0))/10,0)*10)</f>
        <v>-1</v>
      </c>
      <c r="T166" s="158">
        <f>INDEX('Budget by Source'!$A$6:$I$335,MATCH('Payment by Source'!$A166,'Budget by Source'!$A$6:$A$335,0),MATCH(T$3,'Budget by Source'!$A$5:$I$5,0))-(ROUND(INDEX('Budget by Source'!$A$6:$I$335,MATCH('Payment by Source'!$A166,'Budget by Source'!$A$6:$A$335,0),MATCH(T$3,'Budget by Source'!$A$5:$I$5,0))/10,0)*10)</f>
        <v>1</v>
      </c>
      <c r="U166" s="159">
        <f>INDEX('Budget by Source'!$A$6:$I$335,MATCH('Payment by Source'!$A166,'Budget by Source'!$A$6:$A$335,0),MATCH(U$3,'Budget by Source'!$A$5:$I$5,0))</f>
        <v>2572334</v>
      </c>
      <c r="V166" s="156">
        <f t="shared" si="7"/>
        <v>257233</v>
      </c>
      <c r="W166" s="156">
        <f t="shared" si="8"/>
        <v>2572330</v>
      </c>
    </row>
    <row r="167" spans="1:23" x14ac:dyDescent="0.2">
      <c r="A167" s="23" t="str">
        <f>Data!B163</f>
        <v>3582</v>
      </c>
      <c r="B167" s="21" t="str">
        <f>INDEX(Data[],MATCH($A167,Data[Dist],0),MATCH(B$5,Data[#Headers],0))</f>
        <v>East Marshall</v>
      </c>
      <c r="C167" s="22">
        <f>IF(Notes!$B$2="June",ROUND('Budget by Source'!C167/10,0)+P167,ROUND('Budget by Source'!C167/10,0))</f>
        <v>11730</v>
      </c>
      <c r="D167" s="22">
        <f>IF(Notes!$B$2="June",ROUND('Budget by Source'!D167/10,0)+Q167,ROUND('Budget by Source'!D167/10,0))</f>
        <v>35356</v>
      </c>
      <c r="E167" s="22">
        <f>IF(Notes!$B$2="June",ROUND('Budget by Source'!E167/10,0)+R167,ROUND('Budget by Source'!E167/10,0))</f>
        <v>4046</v>
      </c>
      <c r="F167" s="22">
        <f>IF(Notes!$B$2="June",ROUND('Budget by Source'!F167/10,0)+S167,ROUND('Budget by Source'!F167/10,0))</f>
        <v>4017</v>
      </c>
      <c r="G167" s="22">
        <f>IF(Notes!$B$2="June",ROUND('Budget by Source'!G167/10,0)+T167,ROUND('Budget by Source'!G167/10,0))</f>
        <v>18360</v>
      </c>
      <c r="H167" s="22">
        <f t="shared" si="6"/>
        <v>233324</v>
      </c>
      <c r="I167" s="22">
        <f>INDEX(Data[],MATCH($A167,Data[Dist],0),MATCH(I$5,Data[#Headers],0))</f>
        <v>306833</v>
      </c>
      <c r="K167" s="70">
        <f>INDEX('Payment Total'!$A$7:$H$336,MATCH('Payment by Source'!$A167,'Payment Total'!$A$7:$A$336,0),6)-I167</f>
        <v>0</v>
      </c>
      <c r="P167" s="158">
        <f>INDEX('Budget by Source'!$A$6:$I$335,MATCH('Payment by Source'!$A167,'Budget by Source'!$A$6:$A$335,0),MATCH(P$3,'Budget by Source'!$A$5:$I$5,0))-(ROUND(INDEX('Budget by Source'!$A$6:$I$335,MATCH('Payment by Source'!$A167,'Budget by Source'!$A$6:$A$335,0),MATCH(P$3,'Budget by Source'!$A$5:$I$5,0))/10,0)*10)</f>
        <v>0</v>
      </c>
      <c r="Q167" s="158">
        <f>INDEX('Budget by Source'!$A$6:$I$335,MATCH('Payment by Source'!$A167,'Budget by Source'!$A$6:$A$335,0),MATCH(Q$3,'Budget by Source'!$A$5:$I$5,0))-(ROUND(INDEX('Budget by Source'!$A$6:$I$335,MATCH('Payment by Source'!$A167,'Budget by Source'!$A$6:$A$335,0),MATCH(Q$3,'Budget by Source'!$A$5:$I$5,0))/10,0)*10)</f>
        <v>-1</v>
      </c>
      <c r="R167" s="158">
        <f>INDEX('Budget by Source'!$A$6:$I$335,MATCH('Payment by Source'!$A167,'Budget by Source'!$A$6:$A$335,0),MATCH(R$3,'Budget by Source'!$A$5:$I$5,0))-(ROUND(INDEX('Budget by Source'!$A$6:$I$335,MATCH('Payment by Source'!$A167,'Budget by Source'!$A$6:$A$335,0),MATCH(R$3,'Budget by Source'!$A$5:$I$5,0))/10,0)*10)</f>
        <v>-1</v>
      </c>
      <c r="S167" s="158">
        <f>INDEX('Budget by Source'!$A$6:$I$335,MATCH('Payment by Source'!$A167,'Budget by Source'!$A$6:$A$335,0),MATCH(S$3,'Budget by Source'!$A$5:$I$5,0))-(ROUND(INDEX('Budget by Source'!$A$6:$I$335,MATCH('Payment by Source'!$A167,'Budget by Source'!$A$6:$A$335,0),MATCH(S$3,'Budget by Source'!$A$5:$I$5,0))/10,0)*10)</f>
        <v>-2</v>
      </c>
      <c r="T167" s="158">
        <f>INDEX('Budget by Source'!$A$6:$I$335,MATCH('Payment by Source'!$A167,'Budget by Source'!$A$6:$A$335,0),MATCH(T$3,'Budget by Source'!$A$5:$I$5,0))-(ROUND(INDEX('Budget by Source'!$A$6:$I$335,MATCH('Payment by Source'!$A167,'Budget by Source'!$A$6:$A$335,0),MATCH(T$3,'Budget by Source'!$A$5:$I$5,0))/10,0)*10)</f>
        <v>1</v>
      </c>
      <c r="U167" s="159">
        <f>INDEX('Budget by Source'!$A$6:$I$335,MATCH('Payment by Source'!$A167,'Budget by Source'!$A$6:$A$335,0),MATCH(U$3,'Budget by Source'!$A$5:$I$5,0))</f>
        <v>2342589</v>
      </c>
      <c r="V167" s="156">
        <f t="shared" si="7"/>
        <v>234259</v>
      </c>
      <c r="W167" s="156">
        <f t="shared" si="8"/>
        <v>2342590</v>
      </c>
    </row>
    <row r="168" spans="1:23" x14ac:dyDescent="0.2">
      <c r="A168" s="23" t="str">
        <f>Data!B164</f>
        <v>3600</v>
      </c>
      <c r="B168" s="21" t="str">
        <f>INDEX(Data[],MATCH($A168,Data[Dist],0),MATCH(B$5,Data[#Headers],0))</f>
        <v>Le Mars</v>
      </c>
      <c r="C168" s="22">
        <f>IF(Notes!$B$2="June",ROUND('Budget by Source'!C168/10,0)+P168,ROUND('Budget by Source'!C168/10,0))</f>
        <v>33515</v>
      </c>
      <c r="D168" s="22">
        <f>IF(Notes!$B$2="June",ROUND('Budget by Source'!D168/10,0)+Q168,ROUND('Budget by Source'!D168/10,0))</f>
        <v>121926</v>
      </c>
      <c r="E168" s="22">
        <f>IF(Notes!$B$2="June",ROUND('Budget by Source'!E168/10,0)+R168,ROUND('Budget by Source'!E168/10,0))</f>
        <v>13359</v>
      </c>
      <c r="F168" s="22">
        <f>IF(Notes!$B$2="June",ROUND('Budget by Source'!F168/10,0)+S168,ROUND('Budget by Source'!F168/10,0))</f>
        <v>14171</v>
      </c>
      <c r="G168" s="22">
        <f>IF(Notes!$B$2="June",ROUND('Budget by Source'!G168/10,0)+T168,ROUND('Budget by Source'!G168/10,0))</f>
        <v>71321</v>
      </c>
      <c r="H168" s="22">
        <f t="shared" si="6"/>
        <v>995786</v>
      </c>
      <c r="I168" s="22">
        <f>INDEX(Data[],MATCH($A168,Data[Dist],0),MATCH(I$5,Data[#Headers],0))</f>
        <v>1250078</v>
      </c>
      <c r="K168" s="70">
        <f>INDEX('Payment Total'!$A$7:$H$336,MATCH('Payment by Source'!$A168,'Payment Total'!$A$7:$A$336,0),6)-I168</f>
        <v>0</v>
      </c>
      <c r="P168" s="158">
        <f>INDEX('Budget by Source'!$A$6:$I$335,MATCH('Payment by Source'!$A168,'Budget by Source'!$A$6:$A$335,0),MATCH(P$3,'Budget by Source'!$A$5:$I$5,0))-(ROUND(INDEX('Budget by Source'!$A$6:$I$335,MATCH('Payment by Source'!$A168,'Budget by Source'!$A$6:$A$335,0),MATCH(P$3,'Budget by Source'!$A$5:$I$5,0))/10,0)*10)</f>
        <v>1</v>
      </c>
      <c r="Q168" s="158">
        <f>INDEX('Budget by Source'!$A$6:$I$335,MATCH('Payment by Source'!$A168,'Budget by Source'!$A$6:$A$335,0),MATCH(Q$3,'Budget by Source'!$A$5:$I$5,0))-(ROUND(INDEX('Budget by Source'!$A$6:$I$335,MATCH('Payment by Source'!$A168,'Budget by Source'!$A$6:$A$335,0),MATCH(Q$3,'Budget by Source'!$A$5:$I$5,0))/10,0)*10)</f>
        <v>3</v>
      </c>
      <c r="R168" s="158">
        <f>INDEX('Budget by Source'!$A$6:$I$335,MATCH('Payment by Source'!$A168,'Budget by Source'!$A$6:$A$335,0),MATCH(R$3,'Budget by Source'!$A$5:$I$5,0))-(ROUND(INDEX('Budget by Source'!$A$6:$I$335,MATCH('Payment by Source'!$A168,'Budget by Source'!$A$6:$A$335,0),MATCH(R$3,'Budget by Source'!$A$5:$I$5,0))/10,0)*10)</f>
        <v>-5</v>
      </c>
      <c r="S168" s="158">
        <f>INDEX('Budget by Source'!$A$6:$I$335,MATCH('Payment by Source'!$A168,'Budget by Source'!$A$6:$A$335,0),MATCH(S$3,'Budget by Source'!$A$5:$I$5,0))-(ROUND(INDEX('Budget by Source'!$A$6:$I$335,MATCH('Payment by Source'!$A168,'Budget by Source'!$A$6:$A$335,0),MATCH(S$3,'Budget by Source'!$A$5:$I$5,0))/10,0)*10)</f>
        <v>4</v>
      </c>
      <c r="T168" s="158">
        <f>INDEX('Budget by Source'!$A$6:$I$335,MATCH('Payment by Source'!$A168,'Budget by Source'!$A$6:$A$335,0),MATCH(T$3,'Budget by Source'!$A$5:$I$5,0))-(ROUND(INDEX('Budget by Source'!$A$6:$I$335,MATCH('Payment by Source'!$A168,'Budget by Source'!$A$6:$A$335,0),MATCH(T$3,'Budget by Source'!$A$5:$I$5,0))/10,0)*10)</f>
        <v>4</v>
      </c>
      <c r="U168" s="159">
        <f>INDEX('Budget by Source'!$A$6:$I$335,MATCH('Payment by Source'!$A168,'Budget by Source'!$A$6:$A$335,0),MATCH(U$3,'Budget by Source'!$A$5:$I$5,0))</f>
        <v>9994290</v>
      </c>
      <c r="V168" s="156">
        <f t="shared" si="7"/>
        <v>999429</v>
      </c>
      <c r="W168" s="156">
        <f t="shared" si="8"/>
        <v>9994290</v>
      </c>
    </row>
    <row r="169" spans="1:23" x14ac:dyDescent="0.2">
      <c r="A169" s="23" t="str">
        <f>Data!B165</f>
        <v>3609</v>
      </c>
      <c r="B169" s="21" t="str">
        <f>INDEX(Data[],MATCH($A169,Data[Dist],0),MATCH(B$5,Data[#Headers],0))</f>
        <v>Lenox</v>
      </c>
      <c r="C169" s="22">
        <f>IF(Notes!$B$2="June",ROUND('Budget by Source'!C169/10,0)+P169,ROUND('Budget by Source'!C169/10,0))</f>
        <v>11393</v>
      </c>
      <c r="D169" s="22">
        <f>IF(Notes!$B$2="June",ROUND('Budget by Source'!D169/10,0)+Q169,ROUND('Budget by Source'!D169/10,0))</f>
        <v>29686</v>
      </c>
      <c r="E169" s="22">
        <f>IF(Notes!$B$2="June",ROUND('Budget by Source'!E169/10,0)+R169,ROUND('Budget by Source'!E169/10,0))</f>
        <v>3932</v>
      </c>
      <c r="F169" s="22">
        <f>IF(Notes!$B$2="June",ROUND('Budget by Source'!F169/10,0)+S169,ROUND('Budget by Source'!F169/10,0))</f>
        <v>3428</v>
      </c>
      <c r="G169" s="22">
        <f>IF(Notes!$B$2="June",ROUND('Budget by Source'!G169/10,0)+T169,ROUND('Budget by Source'!G169/10,0))</f>
        <v>15099</v>
      </c>
      <c r="H169" s="22">
        <f t="shared" si="6"/>
        <v>222791</v>
      </c>
      <c r="I169" s="22">
        <f>INDEX(Data[],MATCH($A169,Data[Dist],0),MATCH(I$5,Data[#Headers],0))</f>
        <v>286329</v>
      </c>
      <c r="K169" s="70">
        <f>INDEX('Payment Total'!$A$7:$H$336,MATCH('Payment by Source'!$A169,'Payment Total'!$A$7:$A$336,0),6)-I169</f>
        <v>0</v>
      </c>
      <c r="P169" s="158">
        <f>INDEX('Budget by Source'!$A$6:$I$335,MATCH('Payment by Source'!$A169,'Budget by Source'!$A$6:$A$335,0),MATCH(P$3,'Budget by Source'!$A$5:$I$5,0))-(ROUND(INDEX('Budget by Source'!$A$6:$I$335,MATCH('Payment by Source'!$A169,'Budget by Source'!$A$6:$A$335,0),MATCH(P$3,'Budget by Source'!$A$5:$I$5,0))/10,0)*10)</f>
        <v>-2</v>
      </c>
      <c r="Q169" s="158">
        <f>INDEX('Budget by Source'!$A$6:$I$335,MATCH('Payment by Source'!$A169,'Budget by Source'!$A$6:$A$335,0),MATCH(Q$3,'Budget by Source'!$A$5:$I$5,0))-(ROUND(INDEX('Budget by Source'!$A$6:$I$335,MATCH('Payment by Source'!$A169,'Budget by Source'!$A$6:$A$335,0),MATCH(Q$3,'Budget by Source'!$A$5:$I$5,0))/10,0)*10)</f>
        <v>3</v>
      </c>
      <c r="R169" s="158">
        <f>INDEX('Budget by Source'!$A$6:$I$335,MATCH('Payment by Source'!$A169,'Budget by Source'!$A$6:$A$335,0),MATCH(R$3,'Budget by Source'!$A$5:$I$5,0))-(ROUND(INDEX('Budget by Source'!$A$6:$I$335,MATCH('Payment by Source'!$A169,'Budget by Source'!$A$6:$A$335,0),MATCH(R$3,'Budget by Source'!$A$5:$I$5,0))/10,0)*10)</f>
        <v>2</v>
      </c>
      <c r="S169" s="158">
        <f>INDEX('Budget by Source'!$A$6:$I$335,MATCH('Payment by Source'!$A169,'Budget by Source'!$A$6:$A$335,0),MATCH(S$3,'Budget by Source'!$A$5:$I$5,0))-(ROUND(INDEX('Budget by Source'!$A$6:$I$335,MATCH('Payment by Source'!$A169,'Budget by Source'!$A$6:$A$335,0),MATCH(S$3,'Budget by Source'!$A$5:$I$5,0))/10,0)*10)</f>
        <v>2</v>
      </c>
      <c r="T169" s="158">
        <f>INDEX('Budget by Source'!$A$6:$I$335,MATCH('Payment by Source'!$A169,'Budget by Source'!$A$6:$A$335,0),MATCH(T$3,'Budget by Source'!$A$5:$I$5,0))-(ROUND(INDEX('Budget by Source'!$A$6:$I$335,MATCH('Payment by Source'!$A169,'Budget by Source'!$A$6:$A$335,0),MATCH(T$3,'Budget by Source'!$A$5:$I$5,0))/10,0)*10)</f>
        <v>-1</v>
      </c>
      <c r="U169" s="159">
        <f>INDEX('Budget by Source'!$A$6:$I$335,MATCH('Payment by Source'!$A169,'Budget by Source'!$A$6:$A$335,0),MATCH(U$3,'Budget by Source'!$A$5:$I$5,0))</f>
        <v>2235611</v>
      </c>
      <c r="V169" s="156">
        <f t="shared" si="7"/>
        <v>223561</v>
      </c>
      <c r="W169" s="156">
        <f t="shared" si="8"/>
        <v>2235610</v>
      </c>
    </row>
    <row r="170" spans="1:23" x14ac:dyDescent="0.2">
      <c r="A170" s="23" t="str">
        <f>Data!B166</f>
        <v>3645</v>
      </c>
      <c r="B170" s="21" t="str">
        <f>INDEX(Data[],MATCH($A170,Data[Dist],0),MATCH(B$5,Data[#Headers],0))</f>
        <v>Lewis Central</v>
      </c>
      <c r="C170" s="22">
        <f>IF(Notes!$B$2="June",ROUND('Budget by Source'!C170/10,0)+P170,ROUND('Budget by Source'!C170/10,0))</f>
        <v>14075</v>
      </c>
      <c r="D170" s="22">
        <f>IF(Notes!$B$2="June",ROUND('Budget by Source'!D170/10,0)+Q170,ROUND('Budget by Source'!D170/10,0))</f>
        <v>139275</v>
      </c>
      <c r="E170" s="22">
        <f>IF(Notes!$B$2="June",ROUND('Budget by Source'!E170/10,0)+R170,ROUND('Budget by Source'!E170/10,0))</f>
        <v>20789</v>
      </c>
      <c r="F170" s="22">
        <f>IF(Notes!$B$2="June",ROUND('Budget by Source'!F170/10,0)+S170,ROUND('Budget by Source'!F170/10,0))</f>
        <v>16316</v>
      </c>
      <c r="G170" s="22">
        <f>IF(Notes!$B$2="June",ROUND('Budget by Source'!G170/10,0)+T170,ROUND('Budget by Source'!G170/10,0))</f>
        <v>80831</v>
      </c>
      <c r="H170" s="22">
        <f t="shared" si="6"/>
        <v>885210</v>
      </c>
      <c r="I170" s="22">
        <f>INDEX(Data[],MATCH($A170,Data[Dist],0),MATCH(I$5,Data[#Headers],0))</f>
        <v>1156496</v>
      </c>
      <c r="K170" s="70">
        <f>INDEX('Payment Total'!$A$7:$H$336,MATCH('Payment by Source'!$A170,'Payment Total'!$A$7:$A$336,0),6)-I170</f>
        <v>0</v>
      </c>
      <c r="P170" s="158">
        <f>INDEX('Budget by Source'!$A$6:$I$335,MATCH('Payment by Source'!$A170,'Budget by Source'!$A$6:$A$335,0),MATCH(P$3,'Budget by Source'!$A$5:$I$5,0))-(ROUND(INDEX('Budget by Source'!$A$6:$I$335,MATCH('Payment by Source'!$A170,'Budget by Source'!$A$6:$A$335,0),MATCH(P$3,'Budget by Source'!$A$5:$I$5,0))/10,0)*10)</f>
        <v>-1</v>
      </c>
      <c r="Q170" s="158">
        <f>INDEX('Budget by Source'!$A$6:$I$335,MATCH('Payment by Source'!$A170,'Budget by Source'!$A$6:$A$335,0),MATCH(Q$3,'Budget by Source'!$A$5:$I$5,0))-(ROUND(INDEX('Budget by Source'!$A$6:$I$335,MATCH('Payment by Source'!$A170,'Budget by Source'!$A$6:$A$335,0),MATCH(Q$3,'Budget by Source'!$A$5:$I$5,0))/10,0)*10)</f>
        <v>3</v>
      </c>
      <c r="R170" s="158">
        <f>INDEX('Budget by Source'!$A$6:$I$335,MATCH('Payment by Source'!$A170,'Budget by Source'!$A$6:$A$335,0),MATCH(R$3,'Budget by Source'!$A$5:$I$5,0))-(ROUND(INDEX('Budget by Source'!$A$6:$I$335,MATCH('Payment by Source'!$A170,'Budget by Source'!$A$6:$A$335,0),MATCH(R$3,'Budget by Source'!$A$5:$I$5,0))/10,0)*10)</f>
        <v>-4</v>
      </c>
      <c r="S170" s="158">
        <f>INDEX('Budget by Source'!$A$6:$I$335,MATCH('Payment by Source'!$A170,'Budget by Source'!$A$6:$A$335,0),MATCH(S$3,'Budget by Source'!$A$5:$I$5,0))-(ROUND(INDEX('Budget by Source'!$A$6:$I$335,MATCH('Payment by Source'!$A170,'Budget by Source'!$A$6:$A$335,0),MATCH(S$3,'Budget by Source'!$A$5:$I$5,0))/10,0)*10)</f>
        <v>2</v>
      </c>
      <c r="T170" s="158">
        <f>INDEX('Budget by Source'!$A$6:$I$335,MATCH('Payment by Source'!$A170,'Budget by Source'!$A$6:$A$335,0),MATCH(T$3,'Budget by Source'!$A$5:$I$5,0))-(ROUND(INDEX('Budget by Source'!$A$6:$I$335,MATCH('Payment by Source'!$A170,'Budget by Source'!$A$6:$A$335,0),MATCH(T$3,'Budget by Source'!$A$5:$I$5,0))/10,0)*10)</f>
        <v>3</v>
      </c>
      <c r="U170" s="159">
        <f>INDEX('Budget by Source'!$A$6:$I$335,MATCH('Payment by Source'!$A170,'Budget by Source'!$A$6:$A$335,0),MATCH(U$3,'Budget by Source'!$A$5:$I$5,0))</f>
        <v>9251365</v>
      </c>
      <c r="V170" s="156">
        <f t="shared" si="7"/>
        <v>925137</v>
      </c>
      <c r="W170" s="156">
        <f t="shared" si="8"/>
        <v>9251370</v>
      </c>
    </row>
    <row r="171" spans="1:23" x14ac:dyDescent="0.2">
      <c r="A171" s="23" t="str">
        <f>Data!B167</f>
        <v>3691</v>
      </c>
      <c r="B171" s="21" t="str">
        <f>INDEX(Data[],MATCH($A171,Data[Dist],0),MATCH(B$5,Data[#Headers],0))</f>
        <v>North Cedar</v>
      </c>
      <c r="C171" s="22">
        <f>IF(Notes!$B$2="June",ROUND('Budget by Source'!C171/10,0)+P171,ROUND('Budget by Source'!C171/10,0))</f>
        <v>10720</v>
      </c>
      <c r="D171" s="22">
        <f>IF(Notes!$B$2="June",ROUND('Budget by Source'!D171/10,0)+Q171,ROUND('Budget by Source'!D171/10,0))</f>
        <v>47141</v>
      </c>
      <c r="E171" s="22">
        <f>IF(Notes!$B$2="June",ROUND('Budget by Source'!E171/10,0)+R171,ROUND('Budget by Source'!E171/10,0))</f>
        <v>4925</v>
      </c>
      <c r="F171" s="22">
        <f>IF(Notes!$B$2="June",ROUND('Budget by Source'!F171/10,0)+S171,ROUND('Budget by Source'!F171/10,0))</f>
        <v>5050</v>
      </c>
      <c r="G171" s="22">
        <f>IF(Notes!$B$2="June",ROUND('Budget by Source'!G171/10,0)+T171,ROUND('Budget by Source'!G171/10,0))</f>
        <v>26624</v>
      </c>
      <c r="H171" s="22">
        <f t="shared" si="6"/>
        <v>356373</v>
      </c>
      <c r="I171" s="22">
        <f>INDEX(Data[],MATCH($A171,Data[Dist],0),MATCH(I$5,Data[#Headers],0))</f>
        <v>450833</v>
      </c>
      <c r="K171" s="70">
        <f>INDEX('Payment Total'!$A$7:$H$336,MATCH('Payment by Source'!$A171,'Payment Total'!$A$7:$A$336,0),6)-I171</f>
        <v>0</v>
      </c>
      <c r="P171" s="158">
        <f>INDEX('Budget by Source'!$A$6:$I$335,MATCH('Payment by Source'!$A171,'Budget by Source'!$A$6:$A$335,0),MATCH(P$3,'Budget by Source'!$A$5:$I$5,0))-(ROUND(INDEX('Budget by Source'!$A$6:$I$335,MATCH('Payment by Source'!$A171,'Budget by Source'!$A$6:$A$335,0),MATCH(P$3,'Budget by Source'!$A$5:$I$5,0))/10,0)*10)</f>
        <v>-5</v>
      </c>
      <c r="Q171" s="158">
        <f>INDEX('Budget by Source'!$A$6:$I$335,MATCH('Payment by Source'!$A171,'Budget by Source'!$A$6:$A$335,0),MATCH(Q$3,'Budget by Source'!$A$5:$I$5,0))-(ROUND(INDEX('Budget by Source'!$A$6:$I$335,MATCH('Payment by Source'!$A171,'Budget by Source'!$A$6:$A$335,0),MATCH(Q$3,'Budget by Source'!$A$5:$I$5,0))/10,0)*10)</f>
        <v>-4</v>
      </c>
      <c r="R171" s="158">
        <f>INDEX('Budget by Source'!$A$6:$I$335,MATCH('Payment by Source'!$A171,'Budget by Source'!$A$6:$A$335,0),MATCH(R$3,'Budget by Source'!$A$5:$I$5,0))-(ROUND(INDEX('Budget by Source'!$A$6:$I$335,MATCH('Payment by Source'!$A171,'Budget by Source'!$A$6:$A$335,0),MATCH(R$3,'Budget by Source'!$A$5:$I$5,0))/10,0)*10)</f>
        <v>0</v>
      </c>
      <c r="S171" s="158">
        <f>INDEX('Budget by Source'!$A$6:$I$335,MATCH('Payment by Source'!$A171,'Budget by Source'!$A$6:$A$335,0),MATCH(S$3,'Budget by Source'!$A$5:$I$5,0))-(ROUND(INDEX('Budget by Source'!$A$6:$I$335,MATCH('Payment by Source'!$A171,'Budget by Source'!$A$6:$A$335,0),MATCH(S$3,'Budget by Source'!$A$5:$I$5,0))/10,0)*10)</f>
        <v>3</v>
      </c>
      <c r="T171" s="158">
        <f>INDEX('Budget by Source'!$A$6:$I$335,MATCH('Payment by Source'!$A171,'Budget by Source'!$A$6:$A$335,0),MATCH(T$3,'Budget by Source'!$A$5:$I$5,0))-(ROUND(INDEX('Budget by Source'!$A$6:$I$335,MATCH('Payment by Source'!$A171,'Budget by Source'!$A$6:$A$335,0),MATCH(T$3,'Budget by Source'!$A$5:$I$5,0))/10,0)*10)</f>
        <v>3</v>
      </c>
      <c r="U171" s="159">
        <f>INDEX('Budget by Source'!$A$6:$I$335,MATCH('Payment by Source'!$A171,'Budget by Source'!$A$6:$A$335,0),MATCH(U$3,'Budget by Source'!$A$5:$I$5,0))</f>
        <v>3577270</v>
      </c>
      <c r="V171" s="156">
        <f t="shared" si="7"/>
        <v>357727</v>
      </c>
      <c r="W171" s="156">
        <f t="shared" si="8"/>
        <v>3577270</v>
      </c>
    </row>
    <row r="172" spans="1:23" x14ac:dyDescent="0.2">
      <c r="A172" s="23" t="str">
        <f>Data!B168</f>
        <v>3715</v>
      </c>
      <c r="B172" s="21" t="str">
        <f>INDEX(Data[],MATCH($A172,Data[Dist],0),MATCH(B$5,Data[#Headers],0))</f>
        <v>Linn-Mar</v>
      </c>
      <c r="C172" s="22">
        <f>IF(Notes!$B$2="June",ROUND('Budget by Source'!C172/10,0)+P172,ROUND('Budget by Source'!C172/10,0))</f>
        <v>78424</v>
      </c>
      <c r="D172" s="22">
        <f>IF(Notes!$B$2="June",ROUND('Budget by Source'!D172/10,0)+Q172,ROUND('Budget by Source'!D172/10,0))</f>
        <v>403611</v>
      </c>
      <c r="E172" s="22">
        <f>IF(Notes!$B$2="June",ROUND('Budget by Source'!E172/10,0)+R172,ROUND('Budget by Source'!E172/10,0))</f>
        <v>44464</v>
      </c>
      <c r="F172" s="22">
        <f>IF(Notes!$B$2="June",ROUND('Budget by Source'!F172/10,0)+S172,ROUND('Budget by Source'!F172/10,0))</f>
        <v>45097</v>
      </c>
      <c r="G172" s="22">
        <f>IF(Notes!$B$2="June",ROUND('Budget by Source'!G172/10,0)+T172,ROUND('Budget by Source'!G172/10,0))</f>
        <v>242791</v>
      </c>
      <c r="H172" s="22">
        <f t="shared" si="6"/>
        <v>3601378</v>
      </c>
      <c r="I172" s="22">
        <f>INDEX(Data[],MATCH($A172,Data[Dist],0),MATCH(I$5,Data[#Headers],0))</f>
        <v>4415765</v>
      </c>
      <c r="K172" s="70">
        <f>INDEX('Payment Total'!$A$7:$H$336,MATCH('Payment by Source'!$A172,'Payment Total'!$A$7:$A$336,0),6)-I172</f>
        <v>0</v>
      </c>
      <c r="P172" s="158">
        <f>INDEX('Budget by Source'!$A$6:$I$335,MATCH('Payment by Source'!$A172,'Budget by Source'!$A$6:$A$335,0),MATCH(P$3,'Budget by Source'!$A$5:$I$5,0))-(ROUND(INDEX('Budget by Source'!$A$6:$I$335,MATCH('Payment by Source'!$A172,'Budget by Source'!$A$6:$A$335,0),MATCH(P$3,'Budget by Source'!$A$5:$I$5,0))/10,0)*10)</f>
        <v>1</v>
      </c>
      <c r="Q172" s="158">
        <f>INDEX('Budget by Source'!$A$6:$I$335,MATCH('Payment by Source'!$A172,'Budget by Source'!$A$6:$A$335,0),MATCH(Q$3,'Budget by Source'!$A$5:$I$5,0))-(ROUND(INDEX('Budget by Source'!$A$6:$I$335,MATCH('Payment by Source'!$A172,'Budget by Source'!$A$6:$A$335,0),MATCH(Q$3,'Budget by Source'!$A$5:$I$5,0))/10,0)*10)</f>
        <v>-4</v>
      </c>
      <c r="R172" s="158">
        <f>INDEX('Budget by Source'!$A$6:$I$335,MATCH('Payment by Source'!$A172,'Budget by Source'!$A$6:$A$335,0),MATCH(R$3,'Budget by Source'!$A$5:$I$5,0))-(ROUND(INDEX('Budget by Source'!$A$6:$I$335,MATCH('Payment by Source'!$A172,'Budget by Source'!$A$6:$A$335,0),MATCH(R$3,'Budget by Source'!$A$5:$I$5,0))/10,0)*10)</f>
        <v>-5</v>
      </c>
      <c r="S172" s="158">
        <f>INDEX('Budget by Source'!$A$6:$I$335,MATCH('Payment by Source'!$A172,'Budget by Source'!$A$6:$A$335,0),MATCH(S$3,'Budget by Source'!$A$5:$I$5,0))-(ROUND(INDEX('Budget by Source'!$A$6:$I$335,MATCH('Payment by Source'!$A172,'Budget by Source'!$A$6:$A$335,0),MATCH(S$3,'Budget by Source'!$A$5:$I$5,0))/10,0)*10)</f>
        <v>-4</v>
      </c>
      <c r="T172" s="158">
        <f>INDEX('Budget by Source'!$A$6:$I$335,MATCH('Payment by Source'!$A172,'Budget by Source'!$A$6:$A$335,0),MATCH(T$3,'Budget by Source'!$A$5:$I$5,0))-(ROUND(INDEX('Budget by Source'!$A$6:$I$335,MATCH('Payment by Source'!$A172,'Budget by Source'!$A$6:$A$335,0),MATCH(T$3,'Budget by Source'!$A$5:$I$5,0))/10,0)*10)</f>
        <v>-1</v>
      </c>
      <c r="U172" s="159">
        <f>INDEX('Budget by Source'!$A$6:$I$335,MATCH('Payment by Source'!$A172,'Budget by Source'!$A$6:$A$335,0),MATCH(U$3,'Budget by Source'!$A$5:$I$5,0))</f>
        <v>36137495</v>
      </c>
      <c r="V172" s="156">
        <f t="shared" si="7"/>
        <v>3613750</v>
      </c>
      <c r="W172" s="156">
        <f t="shared" si="8"/>
        <v>36137500</v>
      </c>
    </row>
    <row r="173" spans="1:23" x14ac:dyDescent="0.2">
      <c r="A173" s="23" t="str">
        <f>Data!B169</f>
        <v>3744</v>
      </c>
      <c r="B173" s="21" t="str">
        <f>INDEX(Data[],MATCH($A173,Data[Dist],0),MATCH(B$5,Data[#Headers],0))</f>
        <v>Lisbon</v>
      </c>
      <c r="C173" s="22">
        <f>IF(Notes!$B$2="June",ROUND('Budget by Source'!C173/10,0)+P173,ROUND('Budget by Source'!C173/10,0))</f>
        <v>14748</v>
      </c>
      <c r="D173" s="22">
        <f>IF(Notes!$B$2="June",ROUND('Budget by Source'!D173/10,0)+Q173,ROUND('Budget by Source'!D173/10,0))</f>
        <v>35942</v>
      </c>
      <c r="E173" s="22">
        <f>IF(Notes!$B$2="June",ROUND('Budget by Source'!E173/10,0)+R173,ROUND('Budget by Source'!E173/10,0))</f>
        <v>3497</v>
      </c>
      <c r="F173" s="22">
        <f>IF(Notes!$B$2="June",ROUND('Budget by Source'!F173/10,0)+S173,ROUND('Budget by Source'!F173/10,0))</f>
        <v>3564</v>
      </c>
      <c r="G173" s="22">
        <f>IF(Notes!$B$2="June",ROUND('Budget by Source'!G173/10,0)+T173,ROUND('Budget by Source'!G173/10,0))</f>
        <v>21426</v>
      </c>
      <c r="H173" s="22">
        <f t="shared" si="6"/>
        <v>313217</v>
      </c>
      <c r="I173" s="22">
        <f>INDEX(Data[],MATCH($A173,Data[Dist],0),MATCH(I$5,Data[#Headers],0))</f>
        <v>392394</v>
      </c>
      <c r="K173" s="70">
        <f>INDEX('Payment Total'!$A$7:$H$336,MATCH('Payment by Source'!$A173,'Payment Total'!$A$7:$A$336,0),6)-I173</f>
        <v>0</v>
      </c>
      <c r="P173" s="158">
        <f>INDEX('Budget by Source'!$A$6:$I$335,MATCH('Payment by Source'!$A173,'Budget by Source'!$A$6:$A$335,0),MATCH(P$3,'Budget by Source'!$A$5:$I$5,0))-(ROUND(INDEX('Budget by Source'!$A$6:$I$335,MATCH('Payment by Source'!$A173,'Budget by Source'!$A$6:$A$335,0),MATCH(P$3,'Budget by Source'!$A$5:$I$5,0))/10,0)*10)</f>
        <v>2</v>
      </c>
      <c r="Q173" s="158">
        <f>INDEX('Budget by Source'!$A$6:$I$335,MATCH('Payment by Source'!$A173,'Budget by Source'!$A$6:$A$335,0),MATCH(Q$3,'Budget by Source'!$A$5:$I$5,0))-(ROUND(INDEX('Budget by Source'!$A$6:$I$335,MATCH('Payment by Source'!$A173,'Budget by Source'!$A$6:$A$335,0),MATCH(Q$3,'Budget by Source'!$A$5:$I$5,0))/10,0)*10)</f>
        <v>-2</v>
      </c>
      <c r="R173" s="158">
        <f>INDEX('Budget by Source'!$A$6:$I$335,MATCH('Payment by Source'!$A173,'Budget by Source'!$A$6:$A$335,0),MATCH(R$3,'Budget by Source'!$A$5:$I$5,0))-(ROUND(INDEX('Budget by Source'!$A$6:$I$335,MATCH('Payment by Source'!$A173,'Budget by Source'!$A$6:$A$335,0),MATCH(R$3,'Budget by Source'!$A$5:$I$5,0))/10,0)*10)</f>
        <v>1</v>
      </c>
      <c r="S173" s="158">
        <f>INDEX('Budget by Source'!$A$6:$I$335,MATCH('Payment by Source'!$A173,'Budget by Source'!$A$6:$A$335,0),MATCH(S$3,'Budget by Source'!$A$5:$I$5,0))-(ROUND(INDEX('Budget by Source'!$A$6:$I$335,MATCH('Payment by Source'!$A173,'Budget by Source'!$A$6:$A$335,0),MATCH(S$3,'Budget by Source'!$A$5:$I$5,0))/10,0)*10)</f>
        <v>4</v>
      </c>
      <c r="T173" s="158">
        <f>INDEX('Budget by Source'!$A$6:$I$335,MATCH('Payment by Source'!$A173,'Budget by Source'!$A$6:$A$335,0),MATCH(T$3,'Budget by Source'!$A$5:$I$5,0))-(ROUND(INDEX('Budget by Source'!$A$6:$I$335,MATCH('Payment by Source'!$A173,'Budget by Source'!$A$6:$A$335,0),MATCH(T$3,'Budget by Source'!$A$5:$I$5,0))/10,0)*10)</f>
        <v>-4</v>
      </c>
      <c r="U173" s="159">
        <f>INDEX('Budget by Source'!$A$6:$I$335,MATCH('Payment by Source'!$A173,'Budget by Source'!$A$6:$A$335,0),MATCH(U$3,'Budget by Source'!$A$5:$I$5,0))</f>
        <v>3142945</v>
      </c>
      <c r="V173" s="156">
        <f t="shared" si="7"/>
        <v>314295</v>
      </c>
      <c r="W173" s="156">
        <f t="shared" si="8"/>
        <v>3142950</v>
      </c>
    </row>
    <row r="174" spans="1:23" x14ac:dyDescent="0.2">
      <c r="A174" s="23" t="str">
        <f>Data!B170</f>
        <v>3798</v>
      </c>
      <c r="B174" s="21" t="str">
        <f>INDEX(Data[],MATCH($A174,Data[Dist],0),MATCH(B$5,Data[#Headers],0))</f>
        <v>Logan-Magnolia</v>
      </c>
      <c r="C174" s="22">
        <f>IF(Notes!$B$2="June",ROUND('Budget by Source'!C174/10,0)+P174,ROUND('Budget by Source'!C174/10,0))</f>
        <v>12402</v>
      </c>
      <c r="D174" s="22">
        <f>IF(Notes!$B$2="June",ROUND('Budget by Source'!D174/10,0)+Q174,ROUND('Budget by Source'!D174/10,0))</f>
        <v>32948</v>
      </c>
      <c r="E174" s="22">
        <f>IF(Notes!$B$2="June",ROUND('Budget by Source'!E174/10,0)+R174,ROUND('Budget by Source'!E174/10,0))</f>
        <v>3739</v>
      </c>
      <c r="F174" s="22">
        <f>IF(Notes!$B$2="June",ROUND('Budget by Source'!F174/10,0)+S174,ROUND('Budget by Source'!F174/10,0))</f>
        <v>3676</v>
      </c>
      <c r="G174" s="22">
        <f>IF(Notes!$B$2="June",ROUND('Budget by Source'!G174/10,0)+T174,ROUND('Budget by Source'!G174/10,0))</f>
        <v>18411</v>
      </c>
      <c r="H174" s="22">
        <f t="shared" si="6"/>
        <v>273954</v>
      </c>
      <c r="I174" s="22">
        <f>INDEX(Data[],MATCH($A174,Data[Dist],0),MATCH(I$5,Data[#Headers],0))</f>
        <v>345130</v>
      </c>
      <c r="K174" s="70">
        <f>INDEX('Payment Total'!$A$7:$H$336,MATCH('Payment by Source'!$A174,'Payment Total'!$A$7:$A$336,0),6)-I174</f>
        <v>0</v>
      </c>
      <c r="P174" s="158">
        <f>INDEX('Budget by Source'!$A$6:$I$335,MATCH('Payment by Source'!$A174,'Budget by Source'!$A$6:$A$335,0),MATCH(P$3,'Budget by Source'!$A$5:$I$5,0))-(ROUND(INDEX('Budget by Source'!$A$6:$I$335,MATCH('Payment by Source'!$A174,'Budget by Source'!$A$6:$A$335,0),MATCH(P$3,'Budget by Source'!$A$5:$I$5,0))/10,0)*10)</f>
        <v>2</v>
      </c>
      <c r="Q174" s="158">
        <f>INDEX('Budget by Source'!$A$6:$I$335,MATCH('Payment by Source'!$A174,'Budget by Source'!$A$6:$A$335,0),MATCH(Q$3,'Budget by Source'!$A$5:$I$5,0))-(ROUND(INDEX('Budget by Source'!$A$6:$I$335,MATCH('Payment by Source'!$A174,'Budget by Source'!$A$6:$A$335,0),MATCH(Q$3,'Budget by Source'!$A$5:$I$5,0))/10,0)*10)</f>
        <v>4</v>
      </c>
      <c r="R174" s="158">
        <f>INDEX('Budget by Source'!$A$6:$I$335,MATCH('Payment by Source'!$A174,'Budget by Source'!$A$6:$A$335,0),MATCH(R$3,'Budget by Source'!$A$5:$I$5,0))-(ROUND(INDEX('Budget by Source'!$A$6:$I$335,MATCH('Payment by Source'!$A174,'Budget by Source'!$A$6:$A$335,0),MATCH(R$3,'Budget by Source'!$A$5:$I$5,0))/10,0)*10)</f>
        <v>4</v>
      </c>
      <c r="S174" s="158">
        <f>INDEX('Budget by Source'!$A$6:$I$335,MATCH('Payment by Source'!$A174,'Budget by Source'!$A$6:$A$335,0),MATCH(S$3,'Budget by Source'!$A$5:$I$5,0))-(ROUND(INDEX('Budget by Source'!$A$6:$I$335,MATCH('Payment by Source'!$A174,'Budget by Source'!$A$6:$A$335,0),MATCH(S$3,'Budget by Source'!$A$5:$I$5,0))/10,0)*10)</f>
        <v>3</v>
      </c>
      <c r="T174" s="158">
        <f>INDEX('Budget by Source'!$A$6:$I$335,MATCH('Payment by Source'!$A174,'Budget by Source'!$A$6:$A$335,0),MATCH(T$3,'Budget by Source'!$A$5:$I$5,0))-(ROUND(INDEX('Budget by Source'!$A$6:$I$335,MATCH('Payment by Source'!$A174,'Budget by Source'!$A$6:$A$335,0),MATCH(T$3,'Budget by Source'!$A$5:$I$5,0))/10,0)*10)</f>
        <v>-4</v>
      </c>
      <c r="U174" s="159">
        <f>INDEX('Budget by Source'!$A$6:$I$335,MATCH('Payment by Source'!$A174,'Budget by Source'!$A$6:$A$335,0),MATCH(U$3,'Budget by Source'!$A$5:$I$5,0))</f>
        <v>2749031</v>
      </c>
      <c r="V174" s="156">
        <f t="shared" si="7"/>
        <v>274903</v>
      </c>
      <c r="W174" s="156">
        <f t="shared" si="8"/>
        <v>2749030</v>
      </c>
    </row>
    <row r="175" spans="1:23" x14ac:dyDescent="0.2">
      <c r="A175" s="23" t="str">
        <f>Data!B171</f>
        <v>3816</v>
      </c>
      <c r="B175" s="21" t="str">
        <f>INDEX(Data[],MATCH($A175,Data[Dist],0),MATCH(B$5,Data[#Headers],0))</f>
        <v>Lone Tree</v>
      </c>
      <c r="C175" s="22">
        <f>IF(Notes!$B$2="June",ROUND('Budget by Source'!C175/10,0)+P175,ROUND('Budget by Source'!C175/10,0))</f>
        <v>10056</v>
      </c>
      <c r="D175" s="22">
        <f>IF(Notes!$B$2="June",ROUND('Budget by Source'!D175/10,0)+Q175,ROUND('Budget by Source'!D175/10,0))</f>
        <v>23941</v>
      </c>
      <c r="E175" s="22">
        <f>IF(Notes!$B$2="June",ROUND('Budget by Source'!E175/10,0)+R175,ROUND('Budget by Source'!E175/10,0))</f>
        <v>2704</v>
      </c>
      <c r="F175" s="22">
        <f>IF(Notes!$B$2="June",ROUND('Budget by Source'!F175/10,0)+S175,ROUND('Budget by Source'!F175/10,0))</f>
        <v>2468</v>
      </c>
      <c r="G175" s="22">
        <f>IF(Notes!$B$2="June",ROUND('Budget by Source'!G175/10,0)+T175,ROUND('Budget by Source'!G175/10,0))</f>
        <v>11955</v>
      </c>
      <c r="H175" s="22">
        <f t="shared" si="6"/>
        <v>151525</v>
      </c>
      <c r="I175" s="22">
        <f>INDEX(Data[],MATCH($A175,Data[Dist],0),MATCH(I$5,Data[#Headers],0))</f>
        <v>202649</v>
      </c>
      <c r="K175" s="70">
        <f>INDEX('Payment Total'!$A$7:$H$336,MATCH('Payment by Source'!$A175,'Payment Total'!$A$7:$A$336,0),6)-I175</f>
        <v>0</v>
      </c>
      <c r="P175" s="158">
        <f>INDEX('Budget by Source'!$A$6:$I$335,MATCH('Payment by Source'!$A175,'Budget by Source'!$A$6:$A$335,0),MATCH(P$3,'Budget by Source'!$A$5:$I$5,0))-(ROUND(INDEX('Budget by Source'!$A$6:$I$335,MATCH('Payment by Source'!$A175,'Budget by Source'!$A$6:$A$335,0),MATCH(P$3,'Budget by Source'!$A$5:$I$5,0))/10,0)*10)</f>
        <v>2</v>
      </c>
      <c r="Q175" s="158">
        <f>INDEX('Budget by Source'!$A$6:$I$335,MATCH('Payment by Source'!$A175,'Budget by Source'!$A$6:$A$335,0),MATCH(Q$3,'Budget by Source'!$A$5:$I$5,0))-(ROUND(INDEX('Budget by Source'!$A$6:$I$335,MATCH('Payment by Source'!$A175,'Budget by Source'!$A$6:$A$335,0),MATCH(Q$3,'Budget by Source'!$A$5:$I$5,0))/10,0)*10)</f>
        <v>4</v>
      </c>
      <c r="R175" s="158">
        <f>INDEX('Budget by Source'!$A$6:$I$335,MATCH('Payment by Source'!$A175,'Budget by Source'!$A$6:$A$335,0),MATCH(R$3,'Budget by Source'!$A$5:$I$5,0))-(ROUND(INDEX('Budget by Source'!$A$6:$I$335,MATCH('Payment by Source'!$A175,'Budget by Source'!$A$6:$A$335,0),MATCH(R$3,'Budget by Source'!$A$5:$I$5,0))/10,0)*10)</f>
        <v>-2</v>
      </c>
      <c r="S175" s="158">
        <f>INDEX('Budget by Source'!$A$6:$I$335,MATCH('Payment by Source'!$A175,'Budget by Source'!$A$6:$A$335,0),MATCH(S$3,'Budget by Source'!$A$5:$I$5,0))-(ROUND(INDEX('Budget by Source'!$A$6:$I$335,MATCH('Payment by Source'!$A175,'Budget by Source'!$A$6:$A$335,0),MATCH(S$3,'Budget by Source'!$A$5:$I$5,0))/10,0)*10)</f>
        <v>3</v>
      </c>
      <c r="T175" s="158">
        <f>INDEX('Budget by Source'!$A$6:$I$335,MATCH('Payment by Source'!$A175,'Budget by Source'!$A$6:$A$335,0),MATCH(T$3,'Budget by Source'!$A$5:$I$5,0))-(ROUND(INDEX('Budget by Source'!$A$6:$I$335,MATCH('Payment by Source'!$A175,'Budget by Source'!$A$6:$A$335,0),MATCH(T$3,'Budget by Source'!$A$5:$I$5,0))/10,0)*10)</f>
        <v>2</v>
      </c>
      <c r="U175" s="159">
        <f>INDEX('Budget by Source'!$A$6:$I$335,MATCH('Payment by Source'!$A175,'Budget by Source'!$A$6:$A$335,0),MATCH(U$3,'Budget by Source'!$A$5:$I$5,0))</f>
        <v>1521424</v>
      </c>
      <c r="V175" s="156">
        <f t="shared" si="7"/>
        <v>152142</v>
      </c>
      <c r="W175" s="156">
        <f t="shared" si="8"/>
        <v>1521420</v>
      </c>
    </row>
    <row r="176" spans="1:23" x14ac:dyDescent="0.2">
      <c r="A176" s="23" t="str">
        <f>Data!B172</f>
        <v>3841</v>
      </c>
      <c r="B176" s="21" t="str">
        <f>INDEX(Data[],MATCH($A176,Data[Dist],0),MATCH(B$5,Data[#Headers],0))</f>
        <v>Louisa-Muscatine</v>
      </c>
      <c r="C176" s="22">
        <f>IF(Notes!$B$2="June",ROUND('Budget by Source'!C176/10,0)+P176,ROUND('Budget by Source'!C176/10,0))</f>
        <v>17094</v>
      </c>
      <c r="D176" s="22">
        <f>IF(Notes!$B$2="June",ROUND('Budget by Source'!D176/10,0)+Q176,ROUND('Budget by Source'!D176/10,0))</f>
        <v>46563</v>
      </c>
      <c r="E176" s="22">
        <f>IF(Notes!$B$2="June",ROUND('Budget by Source'!E176/10,0)+R176,ROUND('Budget by Source'!E176/10,0))</f>
        <v>4932</v>
      </c>
      <c r="F176" s="22">
        <f>IF(Notes!$B$2="June",ROUND('Budget by Source'!F176/10,0)+S176,ROUND('Budget by Source'!F176/10,0))</f>
        <v>5388</v>
      </c>
      <c r="G176" s="22">
        <f>IF(Notes!$B$2="June",ROUND('Budget by Source'!G176/10,0)+T176,ROUND('Budget by Source'!G176/10,0))</f>
        <v>24161</v>
      </c>
      <c r="H176" s="22">
        <f t="shared" si="6"/>
        <v>351182</v>
      </c>
      <c r="I176" s="22">
        <f>INDEX(Data[],MATCH($A176,Data[Dist],0),MATCH(I$5,Data[#Headers],0))</f>
        <v>449320</v>
      </c>
      <c r="K176" s="70">
        <f>INDEX('Payment Total'!$A$7:$H$336,MATCH('Payment by Source'!$A176,'Payment Total'!$A$7:$A$336,0),6)-I176</f>
        <v>0</v>
      </c>
      <c r="P176" s="158">
        <f>INDEX('Budget by Source'!$A$6:$I$335,MATCH('Payment by Source'!$A176,'Budget by Source'!$A$6:$A$335,0),MATCH(P$3,'Budget by Source'!$A$5:$I$5,0))-(ROUND(INDEX('Budget by Source'!$A$6:$I$335,MATCH('Payment by Source'!$A176,'Budget by Source'!$A$6:$A$335,0),MATCH(P$3,'Budget by Source'!$A$5:$I$5,0))/10,0)*10)</f>
        <v>2</v>
      </c>
      <c r="Q176" s="158">
        <f>INDEX('Budget by Source'!$A$6:$I$335,MATCH('Payment by Source'!$A176,'Budget by Source'!$A$6:$A$335,0),MATCH(Q$3,'Budget by Source'!$A$5:$I$5,0))-(ROUND(INDEX('Budget by Source'!$A$6:$I$335,MATCH('Payment by Source'!$A176,'Budget by Source'!$A$6:$A$335,0),MATCH(Q$3,'Budget by Source'!$A$5:$I$5,0))/10,0)*10)</f>
        <v>0</v>
      </c>
      <c r="R176" s="158">
        <f>INDEX('Budget by Source'!$A$6:$I$335,MATCH('Payment by Source'!$A176,'Budget by Source'!$A$6:$A$335,0),MATCH(R$3,'Budget by Source'!$A$5:$I$5,0))-(ROUND(INDEX('Budget by Source'!$A$6:$I$335,MATCH('Payment by Source'!$A176,'Budget by Source'!$A$6:$A$335,0),MATCH(R$3,'Budget by Source'!$A$5:$I$5,0))/10,0)*10)</f>
        <v>4</v>
      </c>
      <c r="S176" s="158">
        <f>INDEX('Budget by Source'!$A$6:$I$335,MATCH('Payment by Source'!$A176,'Budget by Source'!$A$6:$A$335,0),MATCH(S$3,'Budget by Source'!$A$5:$I$5,0))-(ROUND(INDEX('Budget by Source'!$A$6:$I$335,MATCH('Payment by Source'!$A176,'Budget by Source'!$A$6:$A$335,0),MATCH(S$3,'Budget by Source'!$A$5:$I$5,0))/10,0)*10)</f>
        <v>-4</v>
      </c>
      <c r="T176" s="158">
        <f>INDEX('Budget by Source'!$A$6:$I$335,MATCH('Payment by Source'!$A176,'Budget by Source'!$A$6:$A$335,0),MATCH(T$3,'Budget by Source'!$A$5:$I$5,0))-(ROUND(INDEX('Budget by Source'!$A$6:$I$335,MATCH('Payment by Source'!$A176,'Budget by Source'!$A$6:$A$335,0),MATCH(T$3,'Budget by Source'!$A$5:$I$5,0))/10,0)*10)</f>
        <v>0</v>
      </c>
      <c r="U176" s="159">
        <f>INDEX('Budget by Source'!$A$6:$I$335,MATCH('Payment by Source'!$A176,'Budget by Source'!$A$6:$A$335,0),MATCH(U$3,'Budget by Source'!$A$5:$I$5,0))</f>
        <v>3524162</v>
      </c>
      <c r="V176" s="156">
        <f t="shared" si="7"/>
        <v>352416</v>
      </c>
      <c r="W176" s="156">
        <f t="shared" si="8"/>
        <v>3524160</v>
      </c>
    </row>
    <row r="177" spans="1:23" x14ac:dyDescent="0.2">
      <c r="A177" s="23" t="str">
        <f>Data!B173</f>
        <v>3897</v>
      </c>
      <c r="B177" s="21" t="str">
        <f>INDEX(Data[],MATCH($A177,Data[Dist],0),MATCH(B$5,Data[#Headers],0))</f>
        <v>Lu Verne</v>
      </c>
      <c r="C177" s="22">
        <f>IF(Notes!$B$2="June",ROUND('Budget by Source'!C177/10,0)+P177,ROUND('Budget by Source'!C177/10,0))</f>
        <v>1337</v>
      </c>
      <c r="D177" s="22">
        <f>IF(Notes!$B$2="June",ROUND('Budget by Source'!D177/10,0)+Q177,ROUND('Budget by Source'!D177/10,0))</f>
        <v>10912</v>
      </c>
      <c r="E177" s="22">
        <f>IF(Notes!$B$2="June",ROUND('Budget by Source'!E177/10,0)+R177,ROUND('Budget by Source'!E177/10,0))</f>
        <v>197</v>
      </c>
      <c r="F177" s="22">
        <f>IF(Notes!$B$2="June",ROUND('Budget by Source'!F177/10,0)+S177,ROUND('Budget by Source'!F177/10,0))</f>
        <v>1162</v>
      </c>
      <c r="G177" s="22">
        <f>IF(Notes!$B$2="June",ROUND('Budget by Source'!G177/10,0)+T177,ROUND('Budget by Source'!G177/10,0))</f>
        <v>5392</v>
      </c>
      <c r="H177" s="22">
        <f t="shared" si="6"/>
        <v>28863</v>
      </c>
      <c r="I177" s="22">
        <f>INDEX(Data[],MATCH($A177,Data[Dist],0),MATCH(I$5,Data[#Headers],0))</f>
        <v>47863</v>
      </c>
      <c r="K177" s="70">
        <f>INDEX('Payment Total'!$A$7:$H$336,MATCH('Payment by Source'!$A177,'Payment Total'!$A$7:$A$336,0),6)-I177</f>
        <v>0</v>
      </c>
      <c r="P177" s="158">
        <f>INDEX('Budget by Source'!$A$6:$I$335,MATCH('Payment by Source'!$A177,'Budget by Source'!$A$6:$A$335,0),MATCH(P$3,'Budget by Source'!$A$5:$I$5,0))-(ROUND(INDEX('Budget by Source'!$A$6:$I$335,MATCH('Payment by Source'!$A177,'Budget by Source'!$A$6:$A$335,0),MATCH(P$3,'Budget by Source'!$A$5:$I$5,0))/10,0)*10)</f>
        <v>-4</v>
      </c>
      <c r="Q177" s="158">
        <f>INDEX('Budget by Source'!$A$6:$I$335,MATCH('Payment by Source'!$A177,'Budget by Source'!$A$6:$A$335,0),MATCH(Q$3,'Budget by Source'!$A$5:$I$5,0))-(ROUND(INDEX('Budget by Source'!$A$6:$I$335,MATCH('Payment by Source'!$A177,'Budget by Source'!$A$6:$A$335,0),MATCH(Q$3,'Budget by Source'!$A$5:$I$5,0))/10,0)*10)</f>
        <v>3</v>
      </c>
      <c r="R177" s="158">
        <f>INDEX('Budget by Source'!$A$6:$I$335,MATCH('Payment by Source'!$A177,'Budget by Source'!$A$6:$A$335,0),MATCH(R$3,'Budget by Source'!$A$5:$I$5,0))-(ROUND(INDEX('Budget by Source'!$A$6:$I$335,MATCH('Payment by Source'!$A177,'Budget by Source'!$A$6:$A$335,0),MATCH(R$3,'Budget by Source'!$A$5:$I$5,0))/10,0)*10)</f>
        <v>-3</v>
      </c>
      <c r="S177" s="158">
        <f>INDEX('Budget by Source'!$A$6:$I$335,MATCH('Payment by Source'!$A177,'Budget by Source'!$A$6:$A$335,0),MATCH(S$3,'Budget by Source'!$A$5:$I$5,0))-(ROUND(INDEX('Budget by Source'!$A$6:$I$335,MATCH('Payment by Source'!$A177,'Budget by Source'!$A$6:$A$335,0),MATCH(S$3,'Budget by Source'!$A$5:$I$5,0))/10,0)*10)</f>
        <v>2</v>
      </c>
      <c r="T177" s="158">
        <f>INDEX('Budget by Source'!$A$6:$I$335,MATCH('Payment by Source'!$A177,'Budget by Source'!$A$6:$A$335,0),MATCH(T$3,'Budget by Source'!$A$5:$I$5,0))-(ROUND(INDEX('Budget by Source'!$A$6:$I$335,MATCH('Payment by Source'!$A177,'Budget by Source'!$A$6:$A$335,0),MATCH(T$3,'Budget by Source'!$A$5:$I$5,0))/10,0)*10)</f>
        <v>-2</v>
      </c>
      <c r="U177" s="159">
        <f>INDEX('Budget by Source'!$A$6:$I$335,MATCH('Payment by Source'!$A177,'Budget by Source'!$A$6:$A$335,0),MATCH(U$3,'Budget by Source'!$A$5:$I$5,0))</f>
        <v>291337</v>
      </c>
      <c r="V177" s="156">
        <f t="shared" si="7"/>
        <v>29134</v>
      </c>
      <c r="W177" s="156">
        <f t="shared" si="8"/>
        <v>291340</v>
      </c>
    </row>
    <row r="178" spans="1:23" x14ac:dyDescent="0.2">
      <c r="A178" s="23" t="str">
        <f>Data!B174</f>
        <v>3906</v>
      </c>
      <c r="B178" s="21" t="str">
        <f>INDEX(Data[],MATCH($A178,Data[Dist],0),MATCH(B$5,Data[#Headers],0))</f>
        <v>Lynnville-Sully</v>
      </c>
      <c r="C178" s="22">
        <f>IF(Notes!$B$2="June",ROUND('Budget by Source'!C178/10,0)+P178,ROUND('Budget by Source'!C178/10,0))</f>
        <v>15085</v>
      </c>
      <c r="D178" s="22">
        <f>IF(Notes!$B$2="June",ROUND('Budget by Source'!D178/10,0)+Q178,ROUND('Budget by Source'!D178/10,0))</f>
        <v>27391</v>
      </c>
      <c r="E178" s="22">
        <f>IF(Notes!$B$2="June",ROUND('Budget by Source'!E178/10,0)+R178,ROUND('Budget by Source'!E178/10,0))</f>
        <v>2770</v>
      </c>
      <c r="F178" s="22">
        <f>IF(Notes!$B$2="June",ROUND('Budget by Source'!F178/10,0)+S178,ROUND('Budget by Source'!F178/10,0))</f>
        <v>2746</v>
      </c>
      <c r="G178" s="22">
        <f>IF(Notes!$B$2="June",ROUND('Budget by Source'!G178/10,0)+T178,ROUND('Budget by Source'!G178/10,0))</f>
        <v>15103</v>
      </c>
      <c r="H178" s="22">
        <f t="shared" si="6"/>
        <v>201629</v>
      </c>
      <c r="I178" s="22">
        <f>INDEX(Data[],MATCH($A178,Data[Dist],0),MATCH(I$5,Data[#Headers],0))</f>
        <v>264724</v>
      </c>
      <c r="K178" s="70">
        <f>INDEX('Payment Total'!$A$7:$H$336,MATCH('Payment by Source'!$A178,'Payment Total'!$A$7:$A$336,0),6)-I178</f>
        <v>0</v>
      </c>
      <c r="P178" s="158">
        <f>INDEX('Budget by Source'!$A$6:$I$335,MATCH('Payment by Source'!$A178,'Budget by Source'!$A$6:$A$335,0),MATCH(P$3,'Budget by Source'!$A$5:$I$5,0))-(ROUND(INDEX('Budget by Source'!$A$6:$I$335,MATCH('Payment by Source'!$A178,'Budget by Source'!$A$6:$A$335,0),MATCH(P$3,'Budget by Source'!$A$5:$I$5,0))/10,0)*10)</f>
        <v>4</v>
      </c>
      <c r="Q178" s="158">
        <f>INDEX('Budget by Source'!$A$6:$I$335,MATCH('Payment by Source'!$A178,'Budget by Source'!$A$6:$A$335,0),MATCH(Q$3,'Budget by Source'!$A$5:$I$5,0))-(ROUND(INDEX('Budget by Source'!$A$6:$I$335,MATCH('Payment by Source'!$A178,'Budget by Source'!$A$6:$A$335,0),MATCH(Q$3,'Budget by Source'!$A$5:$I$5,0))/10,0)*10)</f>
        <v>-1</v>
      </c>
      <c r="R178" s="158">
        <f>INDEX('Budget by Source'!$A$6:$I$335,MATCH('Payment by Source'!$A178,'Budget by Source'!$A$6:$A$335,0),MATCH(R$3,'Budget by Source'!$A$5:$I$5,0))-(ROUND(INDEX('Budget by Source'!$A$6:$I$335,MATCH('Payment by Source'!$A178,'Budget by Source'!$A$6:$A$335,0),MATCH(R$3,'Budget by Source'!$A$5:$I$5,0))/10,0)*10)</f>
        <v>0</v>
      </c>
      <c r="S178" s="158">
        <f>INDEX('Budget by Source'!$A$6:$I$335,MATCH('Payment by Source'!$A178,'Budget by Source'!$A$6:$A$335,0),MATCH(S$3,'Budget by Source'!$A$5:$I$5,0))-(ROUND(INDEX('Budget by Source'!$A$6:$I$335,MATCH('Payment by Source'!$A178,'Budget by Source'!$A$6:$A$335,0),MATCH(S$3,'Budget by Source'!$A$5:$I$5,0))/10,0)*10)</f>
        <v>-1</v>
      </c>
      <c r="T178" s="158">
        <f>INDEX('Budget by Source'!$A$6:$I$335,MATCH('Payment by Source'!$A178,'Budget by Source'!$A$6:$A$335,0),MATCH(T$3,'Budget by Source'!$A$5:$I$5,0))-(ROUND(INDEX('Budget by Source'!$A$6:$I$335,MATCH('Payment by Source'!$A178,'Budget by Source'!$A$6:$A$335,0),MATCH(T$3,'Budget by Source'!$A$5:$I$5,0))/10,0)*10)</f>
        <v>-1</v>
      </c>
      <c r="U178" s="159">
        <f>INDEX('Budget by Source'!$A$6:$I$335,MATCH('Payment by Source'!$A178,'Budget by Source'!$A$6:$A$335,0),MATCH(U$3,'Budget by Source'!$A$5:$I$5,0))</f>
        <v>2024012</v>
      </c>
      <c r="V178" s="156">
        <f t="shared" si="7"/>
        <v>202401</v>
      </c>
      <c r="W178" s="156">
        <f t="shared" si="8"/>
        <v>2024010</v>
      </c>
    </row>
    <row r="179" spans="1:23" x14ac:dyDescent="0.2">
      <c r="A179" s="23" t="str">
        <f>Data!B175</f>
        <v>3942</v>
      </c>
      <c r="B179" s="21" t="str">
        <f>INDEX(Data[],MATCH($A179,Data[Dist],0),MATCH(B$5,Data[#Headers],0))</f>
        <v>Madrid</v>
      </c>
      <c r="C179" s="22">
        <f>IF(Notes!$B$2="June",ROUND('Budget by Source'!C179/10,0)+P179,ROUND('Budget by Source'!C179/10,0))</f>
        <v>13739</v>
      </c>
      <c r="D179" s="22">
        <f>IF(Notes!$B$2="June",ROUND('Budget by Source'!D179/10,0)+Q179,ROUND('Budget by Source'!D179/10,0))</f>
        <v>39056</v>
      </c>
      <c r="E179" s="22">
        <f>IF(Notes!$B$2="June",ROUND('Budget by Source'!E179/10,0)+R179,ROUND('Budget by Source'!E179/10,0))</f>
        <v>4704</v>
      </c>
      <c r="F179" s="22">
        <f>IF(Notes!$B$2="June",ROUND('Budget by Source'!F179/10,0)+S179,ROUND('Budget by Source'!F179/10,0))</f>
        <v>4298</v>
      </c>
      <c r="G179" s="22">
        <f>IF(Notes!$B$2="June",ROUND('Budget by Source'!G179/10,0)+T179,ROUND('Budget by Source'!G179/10,0))</f>
        <v>22321</v>
      </c>
      <c r="H179" s="22">
        <f t="shared" si="6"/>
        <v>381786</v>
      </c>
      <c r="I179" s="22">
        <f>INDEX(Data[],MATCH($A179,Data[Dist],0),MATCH(I$5,Data[#Headers],0))</f>
        <v>465904</v>
      </c>
      <c r="K179" s="70">
        <f>INDEX('Payment Total'!$A$7:$H$336,MATCH('Payment by Source'!$A179,'Payment Total'!$A$7:$A$336,0),6)-I179</f>
        <v>0</v>
      </c>
      <c r="P179" s="158">
        <f>INDEX('Budget by Source'!$A$6:$I$335,MATCH('Payment by Source'!$A179,'Budget by Source'!$A$6:$A$335,0),MATCH(P$3,'Budget by Source'!$A$5:$I$5,0))-(ROUND(INDEX('Budget by Source'!$A$6:$I$335,MATCH('Payment by Source'!$A179,'Budget by Source'!$A$6:$A$335,0),MATCH(P$3,'Budget by Source'!$A$5:$I$5,0))/10,0)*10)</f>
        <v>-2</v>
      </c>
      <c r="Q179" s="158">
        <f>INDEX('Budget by Source'!$A$6:$I$335,MATCH('Payment by Source'!$A179,'Budget by Source'!$A$6:$A$335,0),MATCH(Q$3,'Budget by Source'!$A$5:$I$5,0))-(ROUND(INDEX('Budget by Source'!$A$6:$I$335,MATCH('Payment by Source'!$A179,'Budget by Source'!$A$6:$A$335,0),MATCH(Q$3,'Budget by Source'!$A$5:$I$5,0))/10,0)*10)</f>
        <v>-5</v>
      </c>
      <c r="R179" s="158">
        <f>INDEX('Budget by Source'!$A$6:$I$335,MATCH('Payment by Source'!$A179,'Budget by Source'!$A$6:$A$335,0),MATCH(R$3,'Budget by Source'!$A$5:$I$5,0))-(ROUND(INDEX('Budget by Source'!$A$6:$I$335,MATCH('Payment by Source'!$A179,'Budget by Source'!$A$6:$A$335,0),MATCH(R$3,'Budget by Source'!$A$5:$I$5,0))/10,0)*10)</f>
        <v>4</v>
      </c>
      <c r="S179" s="158">
        <f>INDEX('Budget by Source'!$A$6:$I$335,MATCH('Payment by Source'!$A179,'Budget by Source'!$A$6:$A$335,0),MATCH(S$3,'Budget by Source'!$A$5:$I$5,0))-(ROUND(INDEX('Budget by Source'!$A$6:$I$335,MATCH('Payment by Source'!$A179,'Budget by Source'!$A$6:$A$335,0),MATCH(S$3,'Budget by Source'!$A$5:$I$5,0))/10,0)*10)</f>
        <v>-5</v>
      </c>
      <c r="T179" s="158">
        <f>INDEX('Budget by Source'!$A$6:$I$335,MATCH('Payment by Source'!$A179,'Budget by Source'!$A$6:$A$335,0),MATCH(T$3,'Budget by Source'!$A$5:$I$5,0))-(ROUND(INDEX('Budget by Source'!$A$6:$I$335,MATCH('Payment by Source'!$A179,'Budget by Source'!$A$6:$A$335,0),MATCH(T$3,'Budget by Source'!$A$5:$I$5,0))/10,0)*10)</f>
        <v>-2</v>
      </c>
      <c r="U179" s="159">
        <f>INDEX('Budget by Source'!$A$6:$I$335,MATCH('Payment by Source'!$A179,'Budget by Source'!$A$6:$A$335,0),MATCH(U$3,'Budget by Source'!$A$5:$I$5,0))</f>
        <v>3829170</v>
      </c>
      <c r="V179" s="156">
        <f t="shared" si="7"/>
        <v>382917</v>
      </c>
      <c r="W179" s="156">
        <f t="shared" si="8"/>
        <v>3829170</v>
      </c>
    </row>
    <row r="180" spans="1:23" x14ac:dyDescent="0.2">
      <c r="A180" s="23" t="str">
        <f>Data!B176</f>
        <v>3978</v>
      </c>
      <c r="B180" s="21" t="str">
        <f>INDEX(Data[],MATCH($A180,Data[Dist],0),MATCH(B$5,Data[#Headers],0))</f>
        <v>East Mills</v>
      </c>
      <c r="C180" s="22">
        <f>IF(Notes!$B$2="June",ROUND('Budget by Source'!C180/10,0)+P180,ROUND('Budget by Source'!C180/10,0))</f>
        <v>8711</v>
      </c>
      <c r="D180" s="22">
        <f>IF(Notes!$B$2="June",ROUND('Budget by Source'!D180/10,0)+Q180,ROUND('Budget by Source'!D180/10,0))</f>
        <v>34757</v>
      </c>
      <c r="E180" s="22">
        <f>IF(Notes!$B$2="June",ROUND('Budget by Source'!E180/10,0)+R180,ROUND('Budget by Source'!E180/10,0))</f>
        <v>3484</v>
      </c>
      <c r="F180" s="22">
        <f>IF(Notes!$B$2="June",ROUND('Budget by Source'!F180/10,0)+S180,ROUND('Budget by Source'!F180/10,0))</f>
        <v>3871</v>
      </c>
      <c r="G180" s="22">
        <f>IF(Notes!$B$2="June",ROUND('Budget by Source'!G180/10,0)+T180,ROUND('Budget by Source'!G180/10,0))</f>
        <v>17842</v>
      </c>
      <c r="H180" s="22">
        <f t="shared" si="6"/>
        <v>209377</v>
      </c>
      <c r="I180" s="22">
        <f>INDEX(Data[],MATCH($A180,Data[Dist],0),MATCH(I$5,Data[#Headers],0))</f>
        <v>278042</v>
      </c>
      <c r="K180" s="70">
        <f>INDEX('Payment Total'!$A$7:$H$336,MATCH('Payment by Source'!$A180,'Payment Total'!$A$7:$A$336,0),6)-I180</f>
        <v>0</v>
      </c>
      <c r="P180" s="158">
        <f>INDEX('Budget by Source'!$A$6:$I$335,MATCH('Payment by Source'!$A180,'Budget by Source'!$A$6:$A$335,0),MATCH(P$3,'Budget by Source'!$A$5:$I$5,0))-(ROUND(INDEX('Budget by Source'!$A$6:$I$335,MATCH('Payment by Source'!$A180,'Budget by Source'!$A$6:$A$335,0),MATCH(P$3,'Budget by Source'!$A$5:$I$5,0))/10,0)*10)</f>
        <v>-3</v>
      </c>
      <c r="Q180" s="158">
        <f>INDEX('Budget by Source'!$A$6:$I$335,MATCH('Payment by Source'!$A180,'Budget by Source'!$A$6:$A$335,0),MATCH(Q$3,'Budget by Source'!$A$5:$I$5,0))-(ROUND(INDEX('Budget by Source'!$A$6:$I$335,MATCH('Payment by Source'!$A180,'Budget by Source'!$A$6:$A$335,0),MATCH(Q$3,'Budget by Source'!$A$5:$I$5,0))/10,0)*10)</f>
        <v>4</v>
      </c>
      <c r="R180" s="158">
        <f>INDEX('Budget by Source'!$A$6:$I$335,MATCH('Payment by Source'!$A180,'Budget by Source'!$A$6:$A$335,0),MATCH(R$3,'Budget by Source'!$A$5:$I$5,0))-(ROUND(INDEX('Budget by Source'!$A$6:$I$335,MATCH('Payment by Source'!$A180,'Budget by Source'!$A$6:$A$335,0),MATCH(R$3,'Budget by Source'!$A$5:$I$5,0))/10,0)*10)</f>
        <v>0</v>
      </c>
      <c r="S180" s="158">
        <f>INDEX('Budget by Source'!$A$6:$I$335,MATCH('Payment by Source'!$A180,'Budget by Source'!$A$6:$A$335,0),MATCH(S$3,'Budget by Source'!$A$5:$I$5,0))-(ROUND(INDEX('Budget by Source'!$A$6:$I$335,MATCH('Payment by Source'!$A180,'Budget by Source'!$A$6:$A$335,0),MATCH(S$3,'Budget by Source'!$A$5:$I$5,0))/10,0)*10)</f>
        <v>3</v>
      </c>
      <c r="T180" s="158">
        <f>INDEX('Budget by Source'!$A$6:$I$335,MATCH('Payment by Source'!$A180,'Budget by Source'!$A$6:$A$335,0),MATCH(T$3,'Budget by Source'!$A$5:$I$5,0))-(ROUND(INDEX('Budget by Source'!$A$6:$I$335,MATCH('Payment by Source'!$A180,'Budget by Source'!$A$6:$A$335,0),MATCH(T$3,'Budget by Source'!$A$5:$I$5,0))/10,0)*10)</f>
        <v>-5</v>
      </c>
      <c r="U180" s="159">
        <f>INDEX('Budget by Source'!$A$6:$I$335,MATCH('Payment by Source'!$A180,'Budget by Source'!$A$6:$A$335,0),MATCH(U$3,'Budget by Source'!$A$5:$I$5,0))</f>
        <v>2102865</v>
      </c>
      <c r="V180" s="156">
        <f t="shared" si="7"/>
        <v>210287</v>
      </c>
      <c r="W180" s="156">
        <f t="shared" si="8"/>
        <v>2102870</v>
      </c>
    </row>
    <row r="181" spans="1:23" x14ac:dyDescent="0.2">
      <c r="A181" s="23" t="str">
        <f>Data!B177</f>
        <v>4023</v>
      </c>
      <c r="B181" s="21" t="str">
        <f>INDEX(Data[],MATCH($A181,Data[Dist],0),MATCH(B$5,Data[#Headers],0))</f>
        <v>Manson-Northwest Webster</v>
      </c>
      <c r="C181" s="22">
        <f>IF(Notes!$B$2="June",ROUND('Budget by Source'!C181/10,0)+P181,ROUND('Budget by Source'!C181/10,0))</f>
        <v>15749</v>
      </c>
      <c r="D181" s="22">
        <f>IF(Notes!$B$2="June",ROUND('Budget by Source'!D181/10,0)+Q181,ROUND('Budget by Source'!D181/10,0))</f>
        <v>40298</v>
      </c>
      <c r="E181" s="22">
        <f>IF(Notes!$B$2="June",ROUND('Budget by Source'!E181/10,0)+R181,ROUND('Budget by Source'!E181/10,0))</f>
        <v>3516</v>
      </c>
      <c r="F181" s="22">
        <f>IF(Notes!$B$2="June",ROUND('Budget by Source'!F181/10,0)+S181,ROUND('Budget by Source'!F181/10,0))</f>
        <v>4370</v>
      </c>
      <c r="G181" s="22">
        <f>IF(Notes!$B$2="June",ROUND('Budget by Source'!G181/10,0)+T181,ROUND('Budget by Source'!G181/10,0))</f>
        <v>21481</v>
      </c>
      <c r="H181" s="22">
        <f t="shared" si="6"/>
        <v>228185</v>
      </c>
      <c r="I181" s="22">
        <f>INDEX(Data[],MATCH($A181,Data[Dist],0),MATCH(I$5,Data[#Headers],0))</f>
        <v>313599</v>
      </c>
      <c r="K181" s="70">
        <f>INDEX('Payment Total'!$A$7:$H$336,MATCH('Payment by Source'!$A181,'Payment Total'!$A$7:$A$336,0),6)-I181</f>
        <v>0</v>
      </c>
      <c r="P181" s="158">
        <f>INDEX('Budget by Source'!$A$6:$I$335,MATCH('Payment by Source'!$A181,'Budget by Source'!$A$6:$A$335,0),MATCH(P$3,'Budget by Source'!$A$5:$I$5,0))-(ROUND(INDEX('Budget by Source'!$A$6:$I$335,MATCH('Payment by Source'!$A181,'Budget by Source'!$A$6:$A$335,0),MATCH(P$3,'Budget by Source'!$A$5:$I$5,0))/10,0)*10)</f>
        <v>-3</v>
      </c>
      <c r="Q181" s="158">
        <f>INDEX('Budget by Source'!$A$6:$I$335,MATCH('Payment by Source'!$A181,'Budget by Source'!$A$6:$A$335,0),MATCH(Q$3,'Budget by Source'!$A$5:$I$5,0))-(ROUND(INDEX('Budget by Source'!$A$6:$I$335,MATCH('Payment by Source'!$A181,'Budget by Source'!$A$6:$A$335,0),MATCH(Q$3,'Budget by Source'!$A$5:$I$5,0))/10,0)*10)</f>
        <v>3</v>
      </c>
      <c r="R181" s="158">
        <f>INDEX('Budget by Source'!$A$6:$I$335,MATCH('Payment by Source'!$A181,'Budget by Source'!$A$6:$A$335,0),MATCH(R$3,'Budget by Source'!$A$5:$I$5,0))-(ROUND(INDEX('Budget by Source'!$A$6:$I$335,MATCH('Payment by Source'!$A181,'Budget by Source'!$A$6:$A$335,0),MATCH(R$3,'Budget by Source'!$A$5:$I$5,0))/10,0)*10)</f>
        <v>-4</v>
      </c>
      <c r="S181" s="158">
        <f>INDEX('Budget by Source'!$A$6:$I$335,MATCH('Payment by Source'!$A181,'Budget by Source'!$A$6:$A$335,0),MATCH(S$3,'Budget by Source'!$A$5:$I$5,0))-(ROUND(INDEX('Budget by Source'!$A$6:$I$335,MATCH('Payment by Source'!$A181,'Budget by Source'!$A$6:$A$335,0),MATCH(S$3,'Budget by Source'!$A$5:$I$5,0))/10,0)*10)</f>
        <v>-2</v>
      </c>
      <c r="T181" s="158">
        <f>INDEX('Budget by Source'!$A$6:$I$335,MATCH('Payment by Source'!$A181,'Budget by Source'!$A$6:$A$335,0),MATCH(T$3,'Budget by Source'!$A$5:$I$5,0))-(ROUND(INDEX('Budget by Source'!$A$6:$I$335,MATCH('Payment by Source'!$A181,'Budget by Source'!$A$6:$A$335,0),MATCH(T$3,'Budget by Source'!$A$5:$I$5,0))/10,0)*10)</f>
        <v>-3</v>
      </c>
      <c r="U181" s="159">
        <f>INDEX('Budget by Source'!$A$6:$I$335,MATCH('Payment by Source'!$A181,'Budget by Source'!$A$6:$A$335,0),MATCH(U$3,'Budget by Source'!$A$5:$I$5,0))</f>
        <v>2292725</v>
      </c>
      <c r="V181" s="156">
        <f t="shared" si="7"/>
        <v>229273</v>
      </c>
      <c r="W181" s="156">
        <f t="shared" si="8"/>
        <v>2292730</v>
      </c>
    </row>
    <row r="182" spans="1:23" x14ac:dyDescent="0.2">
      <c r="A182" s="23" t="str">
        <f>Data!B178</f>
        <v>4033</v>
      </c>
      <c r="B182" s="21" t="str">
        <f>INDEX(Data[],MATCH($A182,Data[Dist],0),MATCH(B$5,Data[#Headers],0))</f>
        <v>Maple Valley-Anthon Oto</v>
      </c>
      <c r="C182" s="22">
        <f>IF(Notes!$B$2="June",ROUND('Budget by Source'!C182/10,0)+P182,ROUND('Budget by Source'!C182/10,0))</f>
        <v>10056</v>
      </c>
      <c r="D182" s="22">
        <f>IF(Notes!$B$2="June",ROUND('Budget by Source'!D182/10,0)+Q182,ROUND('Budget by Source'!D182/10,0))</f>
        <v>39780</v>
      </c>
      <c r="E182" s="22">
        <f>IF(Notes!$B$2="June",ROUND('Budget by Source'!E182/10,0)+R182,ROUND('Budget by Source'!E182/10,0))</f>
        <v>3951</v>
      </c>
      <c r="F182" s="22">
        <f>IF(Notes!$B$2="June",ROUND('Budget by Source'!F182/10,0)+S182,ROUND('Budget by Source'!F182/10,0))</f>
        <v>4162</v>
      </c>
      <c r="G182" s="22">
        <f>IF(Notes!$B$2="June",ROUND('Budget by Source'!G182/10,0)+T182,ROUND('Budget by Source'!G182/10,0))</f>
        <v>21963</v>
      </c>
      <c r="H182" s="22">
        <f t="shared" si="6"/>
        <v>283288</v>
      </c>
      <c r="I182" s="22">
        <f>INDEX(Data[],MATCH($A182,Data[Dist],0),MATCH(I$5,Data[#Headers],0))</f>
        <v>363200</v>
      </c>
      <c r="K182" s="70">
        <f>INDEX('Payment Total'!$A$7:$H$336,MATCH('Payment by Source'!$A182,'Payment Total'!$A$7:$A$336,0),6)-I182</f>
        <v>0</v>
      </c>
      <c r="P182" s="158">
        <f>INDEX('Budget by Source'!$A$6:$I$335,MATCH('Payment by Source'!$A182,'Budget by Source'!$A$6:$A$335,0),MATCH(P$3,'Budget by Source'!$A$5:$I$5,0))-(ROUND(INDEX('Budget by Source'!$A$6:$I$335,MATCH('Payment by Source'!$A182,'Budget by Source'!$A$6:$A$335,0),MATCH(P$3,'Budget by Source'!$A$5:$I$5,0))/10,0)*10)</f>
        <v>2</v>
      </c>
      <c r="Q182" s="158">
        <f>INDEX('Budget by Source'!$A$6:$I$335,MATCH('Payment by Source'!$A182,'Budget by Source'!$A$6:$A$335,0),MATCH(Q$3,'Budget by Source'!$A$5:$I$5,0))-(ROUND(INDEX('Budget by Source'!$A$6:$I$335,MATCH('Payment by Source'!$A182,'Budget by Source'!$A$6:$A$335,0),MATCH(Q$3,'Budget by Source'!$A$5:$I$5,0))/10,0)*10)</f>
        <v>-1</v>
      </c>
      <c r="R182" s="158">
        <f>INDEX('Budget by Source'!$A$6:$I$335,MATCH('Payment by Source'!$A182,'Budget by Source'!$A$6:$A$335,0),MATCH(R$3,'Budget by Source'!$A$5:$I$5,0))-(ROUND(INDEX('Budget by Source'!$A$6:$I$335,MATCH('Payment by Source'!$A182,'Budget by Source'!$A$6:$A$335,0),MATCH(R$3,'Budget by Source'!$A$5:$I$5,0))/10,0)*10)</f>
        <v>-5</v>
      </c>
      <c r="S182" s="158">
        <f>INDEX('Budget by Source'!$A$6:$I$335,MATCH('Payment by Source'!$A182,'Budget by Source'!$A$6:$A$335,0),MATCH(S$3,'Budget by Source'!$A$5:$I$5,0))-(ROUND(INDEX('Budget by Source'!$A$6:$I$335,MATCH('Payment by Source'!$A182,'Budget by Source'!$A$6:$A$335,0),MATCH(S$3,'Budget by Source'!$A$5:$I$5,0))/10,0)*10)</f>
        <v>-3</v>
      </c>
      <c r="T182" s="158">
        <f>INDEX('Budget by Source'!$A$6:$I$335,MATCH('Payment by Source'!$A182,'Budget by Source'!$A$6:$A$335,0),MATCH(T$3,'Budget by Source'!$A$5:$I$5,0))-(ROUND(INDEX('Budget by Source'!$A$6:$I$335,MATCH('Payment by Source'!$A182,'Budget by Source'!$A$6:$A$335,0),MATCH(T$3,'Budget by Source'!$A$5:$I$5,0))/10,0)*10)</f>
        <v>0</v>
      </c>
      <c r="U182" s="159">
        <f>INDEX('Budget by Source'!$A$6:$I$335,MATCH('Payment by Source'!$A182,'Budget by Source'!$A$6:$A$335,0),MATCH(U$3,'Budget by Source'!$A$5:$I$5,0))</f>
        <v>2843726</v>
      </c>
      <c r="V182" s="156">
        <f t="shared" si="7"/>
        <v>284373</v>
      </c>
      <c r="W182" s="156">
        <f t="shared" si="8"/>
        <v>2843730</v>
      </c>
    </row>
    <row r="183" spans="1:23" x14ac:dyDescent="0.2">
      <c r="A183" s="23" t="str">
        <f>Data!B179</f>
        <v>4041</v>
      </c>
      <c r="B183" s="21" t="str">
        <f>INDEX(Data[],MATCH($A183,Data[Dist],0),MATCH(B$5,Data[#Headers],0))</f>
        <v>Maquoketa</v>
      </c>
      <c r="C183" s="22">
        <f>IF(Notes!$B$2="June",ROUND('Budget by Source'!C183/10,0)+P183,ROUND('Budget by Source'!C183/10,0))</f>
        <v>18094</v>
      </c>
      <c r="D183" s="22">
        <f>IF(Notes!$B$2="June",ROUND('Budget by Source'!D183/10,0)+Q183,ROUND('Budget by Source'!D183/10,0))</f>
        <v>82584</v>
      </c>
      <c r="E183" s="22">
        <f>IF(Notes!$B$2="June",ROUND('Budget by Source'!E183/10,0)+R183,ROUND('Budget by Source'!E183/10,0))</f>
        <v>9909</v>
      </c>
      <c r="F183" s="22">
        <f>IF(Notes!$B$2="June",ROUND('Budget by Source'!F183/10,0)+S183,ROUND('Budget by Source'!F183/10,0))</f>
        <v>9650</v>
      </c>
      <c r="G183" s="22">
        <f>IF(Notes!$B$2="June",ROUND('Budget by Source'!G183/10,0)+T183,ROUND('Budget by Source'!G183/10,0))</f>
        <v>44077</v>
      </c>
      <c r="H183" s="22">
        <f t="shared" si="6"/>
        <v>744025</v>
      </c>
      <c r="I183" s="22">
        <f>INDEX(Data[],MATCH($A183,Data[Dist],0),MATCH(I$5,Data[#Headers],0))</f>
        <v>908339</v>
      </c>
      <c r="K183" s="70">
        <f>INDEX('Payment Total'!$A$7:$H$336,MATCH('Payment by Source'!$A183,'Payment Total'!$A$7:$A$336,0),6)-I183</f>
        <v>0</v>
      </c>
      <c r="P183" s="158">
        <f>INDEX('Budget by Source'!$A$6:$I$335,MATCH('Payment by Source'!$A183,'Budget by Source'!$A$6:$A$335,0),MATCH(P$3,'Budget by Source'!$A$5:$I$5,0))-(ROUND(INDEX('Budget by Source'!$A$6:$I$335,MATCH('Payment by Source'!$A183,'Budget by Source'!$A$6:$A$335,0),MATCH(P$3,'Budget by Source'!$A$5:$I$5,0))/10,0)*10)</f>
        <v>-4</v>
      </c>
      <c r="Q183" s="158">
        <f>INDEX('Budget by Source'!$A$6:$I$335,MATCH('Payment by Source'!$A183,'Budget by Source'!$A$6:$A$335,0),MATCH(Q$3,'Budget by Source'!$A$5:$I$5,0))-(ROUND(INDEX('Budget by Source'!$A$6:$I$335,MATCH('Payment by Source'!$A183,'Budget by Source'!$A$6:$A$335,0),MATCH(Q$3,'Budget by Source'!$A$5:$I$5,0))/10,0)*10)</f>
        <v>1</v>
      </c>
      <c r="R183" s="158">
        <f>INDEX('Budget by Source'!$A$6:$I$335,MATCH('Payment by Source'!$A183,'Budget by Source'!$A$6:$A$335,0),MATCH(R$3,'Budget by Source'!$A$5:$I$5,0))-(ROUND(INDEX('Budget by Source'!$A$6:$I$335,MATCH('Payment by Source'!$A183,'Budget by Source'!$A$6:$A$335,0),MATCH(R$3,'Budget by Source'!$A$5:$I$5,0))/10,0)*10)</f>
        <v>2</v>
      </c>
      <c r="S183" s="158">
        <f>INDEX('Budget by Source'!$A$6:$I$335,MATCH('Payment by Source'!$A183,'Budget by Source'!$A$6:$A$335,0),MATCH(S$3,'Budget by Source'!$A$5:$I$5,0))-(ROUND(INDEX('Budget by Source'!$A$6:$I$335,MATCH('Payment by Source'!$A183,'Budget by Source'!$A$6:$A$335,0),MATCH(S$3,'Budget by Source'!$A$5:$I$5,0))/10,0)*10)</f>
        <v>-4</v>
      </c>
      <c r="T183" s="158">
        <f>INDEX('Budget by Source'!$A$6:$I$335,MATCH('Payment by Source'!$A183,'Budget by Source'!$A$6:$A$335,0),MATCH(T$3,'Budget by Source'!$A$5:$I$5,0))-(ROUND(INDEX('Budget by Source'!$A$6:$I$335,MATCH('Payment by Source'!$A183,'Budget by Source'!$A$6:$A$335,0),MATCH(T$3,'Budget by Source'!$A$5:$I$5,0))/10,0)*10)</f>
        <v>-1</v>
      </c>
      <c r="U183" s="159">
        <f>INDEX('Budget by Source'!$A$6:$I$335,MATCH('Payment by Source'!$A183,'Budget by Source'!$A$6:$A$335,0),MATCH(U$3,'Budget by Source'!$A$5:$I$5,0))</f>
        <v>7462429</v>
      </c>
      <c r="V183" s="156">
        <f t="shared" si="7"/>
        <v>746243</v>
      </c>
      <c r="W183" s="156">
        <f t="shared" si="8"/>
        <v>7462430</v>
      </c>
    </row>
    <row r="184" spans="1:23" x14ac:dyDescent="0.2">
      <c r="A184" s="23" t="str">
        <f>Data!B180</f>
        <v>4043</v>
      </c>
      <c r="B184" s="21" t="str">
        <f>INDEX(Data[],MATCH($A184,Data[Dist],0),MATCH(B$5,Data[#Headers],0))</f>
        <v>Maquoketa Valley</v>
      </c>
      <c r="C184" s="22">
        <f>IF(Notes!$B$2="June",ROUND('Budget by Source'!C184/10,0)+P184,ROUND('Budget by Source'!C184/10,0))</f>
        <v>12402</v>
      </c>
      <c r="D184" s="22">
        <f>IF(Notes!$B$2="June",ROUND('Budget by Source'!D184/10,0)+Q184,ROUND('Budget by Source'!D184/10,0))</f>
        <v>40999</v>
      </c>
      <c r="E184" s="22">
        <f>IF(Notes!$B$2="June",ROUND('Budget by Source'!E184/10,0)+R184,ROUND('Budget by Source'!E184/10,0))</f>
        <v>4394</v>
      </c>
      <c r="F184" s="22">
        <f>IF(Notes!$B$2="June",ROUND('Budget by Source'!F184/10,0)+S184,ROUND('Budget by Source'!F184/10,0))</f>
        <v>4520</v>
      </c>
      <c r="G184" s="22">
        <f>IF(Notes!$B$2="June",ROUND('Budget by Source'!G184/10,0)+T184,ROUND('Budget by Source'!G184/10,0))</f>
        <v>22579</v>
      </c>
      <c r="H184" s="22">
        <f t="shared" si="6"/>
        <v>245434</v>
      </c>
      <c r="I184" s="22">
        <f>INDEX(Data[],MATCH($A184,Data[Dist],0),MATCH(I$5,Data[#Headers],0))</f>
        <v>330328</v>
      </c>
      <c r="K184" s="70">
        <f>INDEX('Payment Total'!$A$7:$H$336,MATCH('Payment by Source'!$A184,'Payment Total'!$A$7:$A$336,0),6)-I184</f>
        <v>0</v>
      </c>
      <c r="P184" s="158">
        <f>INDEX('Budget by Source'!$A$6:$I$335,MATCH('Payment by Source'!$A184,'Budget by Source'!$A$6:$A$335,0),MATCH(P$3,'Budget by Source'!$A$5:$I$5,0))-(ROUND(INDEX('Budget by Source'!$A$6:$I$335,MATCH('Payment by Source'!$A184,'Budget by Source'!$A$6:$A$335,0),MATCH(P$3,'Budget by Source'!$A$5:$I$5,0))/10,0)*10)</f>
        <v>2</v>
      </c>
      <c r="Q184" s="158">
        <f>INDEX('Budget by Source'!$A$6:$I$335,MATCH('Payment by Source'!$A184,'Budget by Source'!$A$6:$A$335,0),MATCH(Q$3,'Budget by Source'!$A$5:$I$5,0))-(ROUND(INDEX('Budget by Source'!$A$6:$I$335,MATCH('Payment by Source'!$A184,'Budget by Source'!$A$6:$A$335,0),MATCH(Q$3,'Budget by Source'!$A$5:$I$5,0))/10,0)*10)</f>
        <v>-3</v>
      </c>
      <c r="R184" s="158">
        <f>INDEX('Budget by Source'!$A$6:$I$335,MATCH('Payment by Source'!$A184,'Budget by Source'!$A$6:$A$335,0),MATCH(R$3,'Budget by Source'!$A$5:$I$5,0))-(ROUND(INDEX('Budget by Source'!$A$6:$I$335,MATCH('Payment by Source'!$A184,'Budget by Source'!$A$6:$A$335,0),MATCH(R$3,'Budget by Source'!$A$5:$I$5,0))/10,0)*10)</f>
        <v>-5</v>
      </c>
      <c r="S184" s="158">
        <f>INDEX('Budget by Source'!$A$6:$I$335,MATCH('Payment by Source'!$A184,'Budget by Source'!$A$6:$A$335,0),MATCH(S$3,'Budget by Source'!$A$5:$I$5,0))-(ROUND(INDEX('Budget by Source'!$A$6:$I$335,MATCH('Payment by Source'!$A184,'Budget by Source'!$A$6:$A$335,0),MATCH(S$3,'Budget by Source'!$A$5:$I$5,0))/10,0)*10)</f>
        <v>0</v>
      </c>
      <c r="T184" s="158">
        <f>INDEX('Budget by Source'!$A$6:$I$335,MATCH('Payment by Source'!$A184,'Budget by Source'!$A$6:$A$335,0),MATCH(T$3,'Budget by Source'!$A$5:$I$5,0))-(ROUND(INDEX('Budget by Source'!$A$6:$I$335,MATCH('Payment by Source'!$A184,'Budget by Source'!$A$6:$A$335,0),MATCH(T$3,'Budget by Source'!$A$5:$I$5,0))/10,0)*10)</f>
        <v>2</v>
      </c>
      <c r="U184" s="159">
        <f>INDEX('Budget by Source'!$A$6:$I$335,MATCH('Payment by Source'!$A184,'Budget by Source'!$A$6:$A$335,0),MATCH(U$3,'Budget by Source'!$A$5:$I$5,0))</f>
        <v>2465509</v>
      </c>
      <c r="V184" s="156">
        <f t="shared" si="7"/>
        <v>246551</v>
      </c>
      <c r="W184" s="156">
        <f t="shared" si="8"/>
        <v>2465510</v>
      </c>
    </row>
    <row r="185" spans="1:23" x14ac:dyDescent="0.2">
      <c r="A185" s="23" t="str">
        <f>Data!B181</f>
        <v>4068</v>
      </c>
      <c r="B185" s="21" t="str">
        <f>INDEX(Data[],MATCH($A185,Data[Dist],0),MATCH(B$5,Data[#Headers],0))</f>
        <v>Marcus-Meriden Cleghorn</v>
      </c>
      <c r="C185" s="22">
        <f>IF(Notes!$B$2="June",ROUND('Budget by Source'!C185/10,0)+P185,ROUND('Budget by Source'!C185/10,0))</f>
        <v>10056</v>
      </c>
      <c r="D185" s="22">
        <f>IF(Notes!$B$2="June",ROUND('Budget by Source'!D185/10,0)+Q185,ROUND('Budget by Source'!D185/10,0))</f>
        <v>26407</v>
      </c>
      <c r="E185" s="22">
        <f>IF(Notes!$B$2="June",ROUND('Budget by Source'!E185/10,0)+R185,ROUND('Budget by Source'!E185/10,0))</f>
        <v>2145</v>
      </c>
      <c r="F185" s="22">
        <f>IF(Notes!$B$2="June",ROUND('Budget by Source'!F185/10,0)+S185,ROUND('Budget by Source'!F185/10,0))</f>
        <v>2788</v>
      </c>
      <c r="G185" s="22">
        <f>IF(Notes!$B$2="June",ROUND('Budget by Source'!G185/10,0)+T185,ROUND('Budget by Source'!G185/10,0))</f>
        <v>13932</v>
      </c>
      <c r="H185" s="22">
        <f t="shared" si="6"/>
        <v>115895</v>
      </c>
      <c r="I185" s="22">
        <f>INDEX(Data[],MATCH($A185,Data[Dist],0),MATCH(I$5,Data[#Headers],0))</f>
        <v>171223</v>
      </c>
      <c r="K185" s="70">
        <f>INDEX('Payment Total'!$A$7:$H$336,MATCH('Payment by Source'!$A185,'Payment Total'!$A$7:$A$336,0),6)-I185</f>
        <v>0</v>
      </c>
      <c r="P185" s="158">
        <f>INDEX('Budget by Source'!$A$6:$I$335,MATCH('Payment by Source'!$A185,'Budget by Source'!$A$6:$A$335,0),MATCH(P$3,'Budget by Source'!$A$5:$I$5,0))-(ROUND(INDEX('Budget by Source'!$A$6:$I$335,MATCH('Payment by Source'!$A185,'Budget by Source'!$A$6:$A$335,0),MATCH(P$3,'Budget by Source'!$A$5:$I$5,0))/10,0)*10)</f>
        <v>2</v>
      </c>
      <c r="Q185" s="158">
        <f>INDEX('Budget by Source'!$A$6:$I$335,MATCH('Payment by Source'!$A185,'Budget by Source'!$A$6:$A$335,0),MATCH(Q$3,'Budget by Source'!$A$5:$I$5,0))-(ROUND(INDEX('Budget by Source'!$A$6:$I$335,MATCH('Payment by Source'!$A185,'Budget by Source'!$A$6:$A$335,0),MATCH(Q$3,'Budget by Source'!$A$5:$I$5,0))/10,0)*10)</f>
        <v>2</v>
      </c>
      <c r="R185" s="158">
        <f>INDEX('Budget by Source'!$A$6:$I$335,MATCH('Payment by Source'!$A185,'Budget by Source'!$A$6:$A$335,0),MATCH(R$3,'Budget by Source'!$A$5:$I$5,0))-(ROUND(INDEX('Budget by Source'!$A$6:$I$335,MATCH('Payment by Source'!$A185,'Budget by Source'!$A$6:$A$335,0),MATCH(R$3,'Budget by Source'!$A$5:$I$5,0))/10,0)*10)</f>
        <v>-1</v>
      </c>
      <c r="S185" s="158">
        <f>INDEX('Budget by Source'!$A$6:$I$335,MATCH('Payment by Source'!$A185,'Budget by Source'!$A$6:$A$335,0),MATCH(S$3,'Budget by Source'!$A$5:$I$5,0))-(ROUND(INDEX('Budget by Source'!$A$6:$I$335,MATCH('Payment by Source'!$A185,'Budget by Source'!$A$6:$A$335,0),MATCH(S$3,'Budget by Source'!$A$5:$I$5,0))/10,0)*10)</f>
        <v>-3</v>
      </c>
      <c r="T185" s="158">
        <f>INDEX('Budget by Source'!$A$6:$I$335,MATCH('Payment by Source'!$A185,'Budget by Source'!$A$6:$A$335,0),MATCH(T$3,'Budget by Source'!$A$5:$I$5,0))-(ROUND(INDEX('Budget by Source'!$A$6:$I$335,MATCH('Payment by Source'!$A185,'Budget by Source'!$A$6:$A$335,0),MATCH(T$3,'Budget by Source'!$A$5:$I$5,0))/10,0)*10)</f>
        <v>-1</v>
      </c>
      <c r="U185" s="159">
        <f>INDEX('Budget by Source'!$A$6:$I$335,MATCH('Payment by Source'!$A185,'Budget by Source'!$A$6:$A$335,0),MATCH(U$3,'Budget by Source'!$A$5:$I$5,0))</f>
        <v>1166027</v>
      </c>
      <c r="V185" s="156">
        <f t="shared" si="7"/>
        <v>116603</v>
      </c>
      <c r="W185" s="156">
        <f t="shared" si="8"/>
        <v>1166030</v>
      </c>
    </row>
    <row r="186" spans="1:23" x14ac:dyDescent="0.2">
      <c r="A186" s="23" t="str">
        <f>Data!B182</f>
        <v>4086</v>
      </c>
      <c r="B186" s="21" t="str">
        <f>INDEX(Data[],MATCH($A186,Data[Dist],0),MATCH(B$5,Data[#Headers],0))</f>
        <v>Marion</v>
      </c>
      <c r="C186" s="22">
        <f>IF(Notes!$B$2="June",ROUND('Budget by Source'!C186/10,0)+P186,ROUND('Budget by Source'!C186/10,0))</f>
        <v>34188</v>
      </c>
      <c r="D186" s="22">
        <f>IF(Notes!$B$2="June",ROUND('Budget by Source'!D186/10,0)+Q186,ROUND('Budget by Source'!D186/10,0))</f>
        <v>114986</v>
      </c>
      <c r="E186" s="22">
        <f>IF(Notes!$B$2="June",ROUND('Budget by Source'!E186/10,0)+R186,ROUND('Budget by Source'!E186/10,0))</f>
        <v>14092</v>
      </c>
      <c r="F186" s="22">
        <f>IF(Notes!$B$2="June",ROUND('Budget by Source'!F186/10,0)+S186,ROUND('Budget by Source'!F186/10,0))</f>
        <v>13825</v>
      </c>
      <c r="G186" s="22">
        <f>IF(Notes!$B$2="June",ROUND('Budget by Source'!G186/10,0)+T186,ROUND('Budget by Source'!G186/10,0))</f>
        <v>62626</v>
      </c>
      <c r="H186" s="22">
        <f t="shared" si="6"/>
        <v>1037378</v>
      </c>
      <c r="I186" s="22">
        <f>INDEX(Data[],MATCH($A186,Data[Dist],0),MATCH(I$5,Data[#Headers],0))</f>
        <v>1277095</v>
      </c>
      <c r="K186" s="70">
        <f>INDEX('Payment Total'!$A$7:$H$336,MATCH('Payment by Source'!$A186,'Payment Total'!$A$7:$A$336,0),6)-I186</f>
        <v>0</v>
      </c>
      <c r="P186" s="158">
        <f>INDEX('Budget by Source'!$A$6:$I$335,MATCH('Payment by Source'!$A186,'Budget by Source'!$A$6:$A$335,0),MATCH(P$3,'Budget by Source'!$A$5:$I$5,0))-(ROUND(INDEX('Budget by Source'!$A$6:$I$335,MATCH('Payment by Source'!$A186,'Budget by Source'!$A$6:$A$335,0),MATCH(P$3,'Budget by Source'!$A$5:$I$5,0))/10,0)*10)</f>
        <v>4</v>
      </c>
      <c r="Q186" s="158">
        <f>INDEX('Budget by Source'!$A$6:$I$335,MATCH('Payment by Source'!$A186,'Budget by Source'!$A$6:$A$335,0),MATCH(Q$3,'Budget by Source'!$A$5:$I$5,0))-(ROUND(INDEX('Budget by Source'!$A$6:$I$335,MATCH('Payment by Source'!$A186,'Budget by Source'!$A$6:$A$335,0),MATCH(Q$3,'Budget by Source'!$A$5:$I$5,0))/10,0)*10)</f>
        <v>4</v>
      </c>
      <c r="R186" s="158">
        <f>INDEX('Budget by Source'!$A$6:$I$335,MATCH('Payment by Source'!$A186,'Budget by Source'!$A$6:$A$335,0),MATCH(R$3,'Budget by Source'!$A$5:$I$5,0))-(ROUND(INDEX('Budget by Source'!$A$6:$I$335,MATCH('Payment by Source'!$A186,'Budget by Source'!$A$6:$A$335,0),MATCH(R$3,'Budget by Source'!$A$5:$I$5,0))/10,0)*10)</f>
        <v>4</v>
      </c>
      <c r="S186" s="158">
        <f>INDEX('Budget by Source'!$A$6:$I$335,MATCH('Payment by Source'!$A186,'Budget by Source'!$A$6:$A$335,0),MATCH(S$3,'Budget by Source'!$A$5:$I$5,0))-(ROUND(INDEX('Budget by Source'!$A$6:$I$335,MATCH('Payment by Source'!$A186,'Budget by Source'!$A$6:$A$335,0),MATCH(S$3,'Budget by Source'!$A$5:$I$5,0))/10,0)*10)</f>
        <v>-5</v>
      </c>
      <c r="T186" s="158">
        <f>INDEX('Budget by Source'!$A$6:$I$335,MATCH('Payment by Source'!$A186,'Budget by Source'!$A$6:$A$335,0),MATCH(T$3,'Budget by Source'!$A$5:$I$5,0))-(ROUND(INDEX('Budget by Source'!$A$6:$I$335,MATCH('Payment by Source'!$A186,'Budget by Source'!$A$6:$A$335,0),MATCH(T$3,'Budget by Source'!$A$5:$I$5,0))/10,0)*10)</f>
        <v>0</v>
      </c>
      <c r="U186" s="159">
        <f>INDEX('Budget by Source'!$A$6:$I$335,MATCH('Payment by Source'!$A186,'Budget by Source'!$A$6:$A$335,0),MATCH(U$3,'Budget by Source'!$A$5:$I$5,0))</f>
        <v>10405787</v>
      </c>
      <c r="V186" s="156">
        <f t="shared" si="7"/>
        <v>1040579</v>
      </c>
      <c r="W186" s="156">
        <f t="shared" si="8"/>
        <v>10405790</v>
      </c>
    </row>
    <row r="187" spans="1:23" x14ac:dyDescent="0.2">
      <c r="A187" s="23" t="str">
        <f>Data!B183</f>
        <v>4104</v>
      </c>
      <c r="B187" s="21" t="str">
        <f>INDEX(Data[],MATCH($A187,Data[Dist],0),MATCH(B$5,Data[#Headers],0))</f>
        <v>Marshalltown</v>
      </c>
      <c r="C187" s="22">
        <f>IF(Notes!$B$2="June",ROUND('Budget by Source'!C187/10,0)+P187,ROUND('Budget by Source'!C187/10,0))</f>
        <v>84116</v>
      </c>
      <c r="D187" s="22">
        <f>IF(Notes!$B$2="June",ROUND('Budget by Source'!D187/10,0)+Q187,ROUND('Budget by Source'!D187/10,0))</f>
        <v>306551</v>
      </c>
      <c r="E187" s="22">
        <f>IF(Notes!$B$2="June",ROUND('Budget by Source'!E187/10,0)+R187,ROUND('Budget by Source'!E187/10,0))</f>
        <v>47580</v>
      </c>
      <c r="F187" s="22">
        <f>IF(Notes!$B$2="June",ROUND('Budget by Source'!F187/10,0)+S187,ROUND('Budget by Source'!F187/10,0))</f>
        <v>34327</v>
      </c>
      <c r="G187" s="22">
        <f>IF(Notes!$B$2="June",ROUND('Budget by Source'!G187/10,0)+T187,ROUND('Budget by Source'!G187/10,0))</f>
        <v>178215</v>
      </c>
      <c r="H187" s="22">
        <f t="shared" si="6"/>
        <v>3307860</v>
      </c>
      <c r="I187" s="22">
        <f>INDEX(Data[],MATCH($A187,Data[Dist],0),MATCH(I$5,Data[#Headers],0))</f>
        <v>3958649</v>
      </c>
      <c r="K187" s="70">
        <f>INDEX('Payment Total'!$A$7:$H$336,MATCH('Payment by Source'!$A187,'Payment Total'!$A$7:$A$336,0),6)-I187</f>
        <v>0</v>
      </c>
      <c r="P187" s="158">
        <f>INDEX('Budget by Source'!$A$6:$I$335,MATCH('Payment by Source'!$A187,'Budget by Source'!$A$6:$A$335,0),MATCH(P$3,'Budget by Source'!$A$5:$I$5,0))-(ROUND(INDEX('Budget by Source'!$A$6:$I$335,MATCH('Payment by Source'!$A187,'Budget by Source'!$A$6:$A$335,0),MATCH(P$3,'Budget by Source'!$A$5:$I$5,0))/10,0)*10)</f>
        <v>-5</v>
      </c>
      <c r="Q187" s="158">
        <f>INDEX('Budget by Source'!$A$6:$I$335,MATCH('Payment by Source'!$A187,'Budget by Source'!$A$6:$A$335,0),MATCH(Q$3,'Budget by Source'!$A$5:$I$5,0))-(ROUND(INDEX('Budget by Source'!$A$6:$I$335,MATCH('Payment by Source'!$A187,'Budget by Source'!$A$6:$A$335,0),MATCH(Q$3,'Budget by Source'!$A$5:$I$5,0))/10,0)*10)</f>
        <v>2</v>
      </c>
      <c r="R187" s="158">
        <f>INDEX('Budget by Source'!$A$6:$I$335,MATCH('Payment by Source'!$A187,'Budget by Source'!$A$6:$A$335,0),MATCH(R$3,'Budget by Source'!$A$5:$I$5,0))-(ROUND(INDEX('Budget by Source'!$A$6:$I$335,MATCH('Payment by Source'!$A187,'Budget by Source'!$A$6:$A$335,0),MATCH(R$3,'Budget by Source'!$A$5:$I$5,0))/10,0)*10)</f>
        <v>-1</v>
      </c>
      <c r="S187" s="158">
        <f>INDEX('Budget by Source'!$A$6:$I$335,MATCH('Payment by Source'!$A187,'Budget by Source'!$A$6:$A$335,0),MATCH(S$3,'Budget by Source'!$A$5:$I$5,0))-(ROUND(INDEX('Budget by Source'!$A$6:$I$335,MATCH('Payment by Source'!$A187,'Budget by Source'!$A$6:$A$335,0),MATCH(S$3,'Budget by Source'!$A$5:$I$5,0))/10,0)*10)</f>
        <v>-1</v>
      </c>
      <c r="T187" s="158">
        <f>INDEX('Budget by Source'!$A$6:$I$335,MATCH('Payment by Source'!$A187,'Budget by Source'!$A$6:$A$335,0),MATCH(T$3,'Budget by Source'!$A$5:$I$5,0))-(ROUND(INDEX('Budget by Source'!$A$6:$I$335,MATCH('Payment by Source'!$A187,'Budget by Source'!$A$6:$A$335,0),MATCH(T$3,'Budget by Source'!$A$5:$I$5,0))/10,0)*10)</f>
        <v>-2</v>
      </c>
      <c r="U187" s="159">
        <f>INDEX('Budget by Source'!$A$6:$I$335,MATCH('Payment by Source'!$A187,'Budget by Source'!$A$6:$A$335,0),MATCH(U$3,'Budget by Source'!$A$5:$I$5,0))</f>
        <v>33169428</v>
      </c>
      <c r="V187" s="156">
        <f t="shared" si="7"/>
        <v>3316943</v>
      </c>
      <c r="W187" s="156">
        <f t="shared" si="8"/>
        <v>33169430</v>
      </c>
    </row>
    <row r="188" spans="1:23" x14ac:dyDescent="0.2">
      <c r="A188" s="23" t="str">
        <f>Data!B184</f>
        <v>4122</v>
      </c>
      <c r="B188" s="21" t="str">
        <f>INDEX(Data[],MATCH($A188,Data[Dist],0),MATCH(B$5,Data[#Headers],0))</f>
        <v>Martensdale-St Marys</v>
      </c>
      <c r="C188" s="22">
        <f>IF(Notes!$B$2="June",ROUND('Budget by Source'!C188/10,0)+P188,ROUND('Budget by Source'!C188/10,0))</f>
        <v>8374</v>
      </c>
      <c r="D188" s="22">
        <f>IF(Notes!$B$2="June",ROUND('Budget by Source'!D188/10,0)+Q188,ROUND('Budget by Source'!D188/10,0))</f>
        <v>29593</v>
      </c>
      <c r="E188" s="22">
        <f>IF(Notes!$B$2="June",ROUND('Budget by Source'!E188/10,0)+R188,ROUND('Budget by Source'!E188/10,0))</f>
        <v>3221</v>
      </c>
      <c r="F188" s="22">
        <f>IF(Notes!$B$2="June",ROUND('Budget by Source'!F188/10,0)+S188,ROUND('Budget by Source'!F188/10,0))</f>
        <v>2836</v>
      </c>
      <c r="G188" s="22">
        <f>IF(Notes!$B$2="June",ROUND('Budget by Source'!G188/10,0)+T188,ROUND('Budget by Source'!G188/10,0))</f>
        <v>16726</v>
      </c>
      <c r="H188" s="22">
        <f t="shared" si="6"/>
        <v>239578</v>
      </c>
      <c r="I188" s="22">
        <f>INDEX(Data[],MATCH($A188,Data[Dist],0),MATCH(I$5,Data[#Headers],0))</f>
        <v>300328</v>
      </c>
      <c r="K188" s="70">
        <f>INDEX('Payment Total'!$A$7:$H$336,MATCH('Payment by Source'!$A188,'Payment Total'!$A$7:$A$336,0),6)-I188</f>
        <v>0</v>
      </c>
      <c r="P188" s="158">
        <f>INDEX('Budget by Source'!$A$6:$I$335,MATCH('Payment by Source'!$A188,'Budget by Source'!$A$6:$A$335,0),MATCH(P$3,'Budget by Source'!$A$5:$I$5,0))-(ROUND(INDEX('Budget by Source'!$A$6:$I$335,MATCH('Payment by Source'!$A188,'Budget by Source'!$A$6:$A$335,0),MATCH(P$3,'Budget by Source'!$A$5:$I$5,0))/10,0)*10)</f>
        <v>-5</v>
      </c>
      <c r="Q188" s="158">
        <f>INDEX('Budget by Source'!$A$6:$I$335,MATCH('Payment by Source'!$A188,'Budget by Source'!$A$6:$A$335,0),MATCH(Q$3,'Budget by Source'!$A$5:$I$5,0))-(ROUND(INDEX('Budget by Source'!$A$6:$I$335,MATCH('Payment by Source'!$A188,'Budget by Source'!$A$6:$A$335,0),MATCH(Q$3,'Budget by Source'!$A$5:$I$5,0))/10,0)*10)</f>
        <v>-5</v>
      </c>
      <c r="R188" s="158">
        <f>INDEX('Budget by Source'!$A$6:$I$335,MATCH('Payment by Source'!$A188,'Budget by Source'!$A$6:$A$335,0),MATCH(R$3,'Budget by Source'!$A$5:$I$5,0))-(ROUND(INDEX('Budget by Source'!$A$6:$I$335,MATCH('Payment by Source'!$A188,'Budget by Source'!$A$6:$A$335,0),MATCH(R$3,'Budget by Source'!$A$5:$I$5,0))/10,0)*10)</f>
        <v>-2</v>
      </c>
      <c r="S188" s="158">
        <f>INDEX('Budget by Source'!$A$6:$I$335,MATCH('Payment by Source'!$A188,'Budget by Source'!$A$6:$A$335,0),MATCH(S$3,'Budget by Source'!$A$5:$I$5,0))-(ROUND(INDEX('Budget by Source'!$A$6:$I$335,MATCH('Payment by Source'!$A188,'Budget by Source'!$A$6:$A$335,0),MATCH(S$3,'Budget by Source'!$A$5:$I$5,0))/10,0)*10)</f>
        <v>-4</v>
      </c>
      <c r="T188" s="158">
        <f>INDEX('Budget by Source'!$A$6:$I$335,MATCH('Payment by Source'!$A188,'Budget by Source'!$A$6:$A$335,0),MATCH(T$3,'Budget by Source'!$A$5:$I$5,0))-(ROUND(INDEX('Budget by Source'!$A$6:$I$335,MATCH('Payment by Source'!$A188,'Budget by Source'!$A$6:$A$335,0),MATCH(T$3,'Budget by Source'!$A$5:$I$5,0))/10,0)*10)</f>
        <v>3</v>
      </c>
      <c r="U188" s="159">
        <f>INDEX('Budget by Source'!$A$6:$I$335,MATCH('Payment by Source'!$A188,'Budget by Source'!$A$6:$A$335,0),MATCH(U$3,'Budget by Source'!$A$5:$I$5,0))</f>
        <v>2404207</v>
      </c>
      <c r="V188" s="156">
        <f t="shared" si="7"/>
        <v>240421</v>
      </c>
      <c r="W188" s="156">
        <f t="shared" si="8"/>
        <v>2404210</v>
      </c>
    </row>
    <row r="189" spans="1:23" x14ac:dyDescent="0.2">
      <c r="A189" s="23" t="str">
        <f>Data!B185</f>
        <v>4131</v>
      </c>
      <c r="B189" s="21" t="str">
        <f>INDEX(Data[],MATCH($A189,Data[Dist],0),MATCH(B$5,Data[#Headers],0))</f>
        <v>Mason City</v>
      </c>
      <c r="C189" s="22">
        <f>IF(Notes!$B$2="June",ROUND('Budget by Source'!C189/10,0)+P189,ROUND('Budget by Source'!C189/10,0))</f>
        <v>60321</v>
      </c>
      <c r="D189" s="22">
        <f>IF(Notes!$B$2="June",ROUND('Budget by Source'!D189/10,0)+Q189,ROUND('Budget by Source'!D189/10,0))</f>
        <v>210076</v>
      </c>
      <c r="E189" s="22">
        <f>IF(Notes!$B$2="June",ROUND('Budget by Source'!E189/10,0)+R189,ROUND('Budget by Source'!E189/10,0))</f>
        <v>28254</v>
      </c>
      <c r="F189" s="22">
        <f>IF(Notes!$B$2="June",ROUND('Budget by Source'!F189/10,0)+S189,ROUND('Budget by Source'!F189/10,0))</f>
        <v>24959</v>
      </c>
      <c r="G189" s="22">
        <f>IF(Notes!$B$2="June",ROUND('Budget by Source'!G189/10,0)+T189,ROUND('Budget by Source'!G189/10,0))</f>
        <v>120964</v>
      </c>
      <c r="H189" s="22">
        <f t="shared" si="6"/>
        <v>1779914</v>
      </c>
      <c r="I189" s="22">
        <f>INDEX(Data[],MATCH($A189,Data[Dist],0),MATCH(I$5,Data[#Headers],0))</f>
        <v>2224488</v>
      </c>
      <c r="K189" s="70">
        <f>INDEX('Payment Total'!$A$7:$H$336,MATCH('Payment by Source'!$A189,'Payment Total'!$A$7:$A$336,0),6)-I189</f>
        <v>0</v>
      </c>
      <c r="P189" s="158">
        <f>INDEX('Budget by Source'!$A$6:$I$335,MATCH('Payment by Source'!$A189,'Budget by Source'!$A$6:$A$335,0),MATCH(P$3,'Budget by Source'!$A$5:$I$5,0))-(ROUND(INDEX('Budget by Source'!$A$6:$I$335,MATCH('Payment by Source'!$A189,'Budget by Source'!$A$6:$A$335,0),MATCH(P$3,'Budget by Source'!$A$5:$I$5,0))/10,0)*10)</f>
        <v>-5</v>
      </c>
      <c r="Q189" s="158">
        <f>INDEX('Budget by Source'!$A$6:$I$335,MATCH('Payment by Source'!$A189,'Budget by Source'!$A$6:$A$335,0),MATCH(Q$3,'Budget by Source'!$A$5:$I$5,0))-(ROUND(INDEX('Budget by Source'!$A$6:$I$335,MATCH('Payment by Source'!$A189,'Budget by Source'!$A$6:$A$335,0),MATCH(Q$3,'Budget by Source'!$A$5:$I$5,0))/10,0)*10)</f>
        <v>-4</v>
      </c>
      <c r="R189" s="158">
        <f>INDEX('Budget by Source'!$A$6:$I$335,MATCH('Payment by Source'!$A189,'Budget by Source'!$A$6:$A$335,0),MATCH(R$3,'Budget by Source'!$A$5:$I$5,0))-(ROUND(INDEX('Budget by Source'!$A$6:$I$335,MATCH('Payment by Source'!$A189,'Budget by Source'!$A$6:$A$335,0),MATCH(R$3,'Budget by Source'!$A$5:$I$5,0))/10,0)*10)</f>
        <v>-2</v>
      </c>
      <c r="S189" s="158">
        <f>INDEX('Budget by Source'!$A$6:$I$335,MATCH('Payment by Source'!$A189,'Budget by Source'!$A$6:$A$335,0),MATCH(S$3,'Budget by Source'!$A$5:$I$5,0))-(ROUND(INDEX('Budget by Source'!$A$6:$I$335,MATCH('Payment by Source'!$A189,'Budget by Source'!$A$6:$A$335,0),MATCH(S$3,'Budget by Source'!$A$5:$I$5,0))/10,0)*10)</f>
        <v>4</v>
      </c>
      <c r="T189" s="158">
        <f>INDEX('Budget by Source'!$A$6:$I$335,MATCH('Payment by Source'!$A189,'Budget by Source'!$A$6:$A$335,0),MATCH(T$3,'Budget by Source'!$A$5:$I$5,0))-(ROUND(INDEX('Budget by Source'!$A$6:$I$335,MATCH('Payment by Source'!$A189,'Budget by Source'!$A$6:$A$335,0),MATCH(T$3,'Budget by Source'!$A$5:$I$5,0))/10,0)*10)</f>
        <v>-4</v>
      </c>
      <c r="U189" s="159">
        <f>INDEX('Budget by Source'!$A$6:$I$335,MATCH('Payment by Source'!$A189,'Budget by Source'!$A$6:$A$335,0),MATCH(U$3,'Budget by Source'!$A$5:$I$5,0))</f>
        <v>17859663</v>
      </c>
      <c r="V189" s="156">
        <f t="shared" si="7"/>
        <v>1785966</v>
      </c>
      <c r="W189" s="156">
        <f t="shared" si="8"/>
        <v>17859660</v>
      </c>
    </row>
    <row r="190" spans="1:23" x14ac:dyDescent="0.2">
      <c r="A190" s="23" t="str">
        <f>Data!B186</f>
        <v>4149</v>
      </c>
      <c r="B190" s="21" t="str">
        <f>INDEX(Data[],MATCH($A190,Data[Dist],0),MATCH(B$5,Data[#Headers],0))</f>
        <v>Moc-Floyd Valley</v>
      </c>
      <c r="C190" s="22">
        <f>IF(Notes!$B$2="June",ROUND('Budget by Source'!C190/10,0)+P190,ROUND('Budget by Source'!C190/10,0))</f>
        <v>20777</v>
      </c>
      <c r="D190" s="22">
        <f>IF(Notes!$B$2="June",ROUND('Budget by Source'!D190/10,0)+Q190,ROUND('Budget by Source'!D190/10,0))</f>
        <v>82013</v>
      </c>
      <c r="E190" s="22">
        <f>IF(Notes!$B$2="June",ROUND('Budget by Source'!E190/10,0)+R190,ROUND('Budget by Source'!E190/10,0))</f>
        <v>9450</v>
      </c>
      <c r="F190" s="22">
        <f>IF(Notes!$B$2="June",ROUND('Budget by Source'!F190/10,0)+S190,ROUND('Budget by Source'!F190/10,0))</f>
        <v>9807</v>
      </c>
      <c r="G190" s="22">
        <f>IF(Notes!$B$2="June",ROUND('Budget by Source'!G190/10,0)+T190,ROUND('Budget by Source'!G190/10,0))</f>
        <v>46899</v>
      </c>
      <c r="H190" s="22">
        <f t="shared" si="6"/>
        <v>607401</v>
      </c>
      <c r="I190" s="22">
        <f>INDEX(Data[],MATCH($A190,Data[Dist],0),MATCH(I$5,Data[#Headers],0))</f>
        <v>776347</v>
      </c>
      <c r="K190" s="70">
        <f>INDEX('Payment Total'!$A$7:$H$336,MATCH('Payment by Source'!$A190,'Payment Total'!$A$7:$A$336,0),6)-I190</f>
        <v>0</v>
      </c>
      <c r="P190" s="158">
        <f>INDEX('Budget by Source'!$A$6:$I$335,MATCH('Payment by Source'!$A190,'Budget by Source'!$A$6:$A$335,0),MATCH(P$3,'Budget by Source'!$A$5:$I$5,0))-(ROUND(INDEX('Budget by Source'!$A$6:$I$335,MATCH('Payment by Source'!$A190,'Budget by Source'!$A$6:$A$335,0),MATCH(P$3,'Budget by Source'!$A$5:$I$5,0))/10,0)*10)</f>
        <v>-2</v>
      </c>
      <c r="Q190" s="158">
        <f>INDEX('Budget by Source'!$A$6:$I$335,MATCH('Payment by Source'!$A190,'Budget by Source'!$A$6:$A$335,0),MATCH(Q$3,'Budget by Source'!$A$5:$I$5,0))-(ROUND(INDEX('Budget by Source'!$A$6:$I$335,MATCH('Payment by Source'!$A190,'Budget by Source'!$A$6:$A$335,0),MATCH(Q$3,'Budget by Source'!$A$5:$I$5,0))/10,0)*10)</f>
        <v>2</v>
      </c>
      <c r="R190" s="158">
        <f>INDEX('Budget by Source'!$A$6:$I$335,MATCH('Payment by Source'!$A190,'Budget by Source'!$A$6:$A$335,0),MATCH(R$3,'Budget by Source'!$A$5:$I$5,0))-(ROUND(INDEX('Budget by Source'!$A$6:$I$335,MATCH('Payment by Source'!$A190,'Budget by Source'!$A$6:$A$335,0),MATCH(R$3,'Budget by Source'!$A$5:$I$5,0))/10,0)*10)</f>
        <v>-4</v>
      </c>
      <c r="S190" s="158">
        <f>INDEX('Budget by Source'!$A$6:$I$335,MATCH('Payment by Source'!$A190,'Budget by Source'!$A$6:$A$335,0),MATCH(S$3,'Budget by Source'!$A$5:$I$5,0))-(ROUND(INDEX('Budget by Source'!$A$6:$I$335,MATCH('Payment by Source'!$A190,'Budget by Source'!$A$6:$A$335,0),MATCH(S$3,'Budget by Source'!$A$5:$I$5,0))/10,0)*10)</f>
        <v>0</v>
      </c>
      <c r="T190" s="158">
        <f>INDEX('Budget by Source'!$A$6:$I$335,MATCH('Payment by Source'!$A190,'Budget by Source'!$A$6:$A$335,0),MATCH(T$3,'Budget by Source'!$A$5:$I$5,0))-(ROUND(INDEX('Budget by Source'!$A$6:$I$335,MATCH('Payment by Source'!$A190,'Budget by Source'!$A$6:$A$335,0),MATCH(T$3,'Budget by Source'!$A$5:$I$5,0))/10,0)*10)</f>
        <v>-3</v>
      </c>
      <c r="U190" s="159">
        <f>INDEX('Budget by Source'!$A$6:$I$335,MATCH('Payment by Source'!$A190,'Budget by Source'!$A$6:$A$335,0),MATCH(U$3,'Budget by Source'!$A$5:$I$5,0))</f>
        <v>6101392</v>
      </c>
      <c r="V190" s="156">
        <f t="shared" si="7"/>
        <v>610139</v>
      </c>
      <c r="W190" s="156">
        <f t="shared" si="8"/>
        <v>6101390</v>
      </c>
    </row>
    <row r="191" spans="1:23" x14ac:dyDescent="0.2">
      <c r="A191" s="23" t="str">
        <f>Data!B187</f>
        <v>4203</v>
      </c>
      <c r="B191" s="21" t="str">
        <f>INDEX(Data[],MATCH($A191,Data[Dist],0),MATCH(B$5,Data[#Headers],0))</f>
        <v>Mediapolis</v>
      </c>
      <c r="C191" s="22">
        <f>IF(Notes!$B$2="June",ROUND('Budget by Source'!C191/10,0)+P191,ROUND('Budget by Source'!C191/10,0))</f>
        <v>0</v>
      </c>
      <c r="D191" s="22">
        <f>IF(Notes!$B$2="June",ROUND('Budget by Source'!D191/10,0)+Q191,ROUND('Budget by Source'!D191/10,0))</f>
        <v>46502</v>
      </c>
      <c r="E191" s="22">
        <f>IF(Notes!$B$2="June",ROUND('Budget by Source'!E191/10,0)+R191,ROUND('Budget by Source'!E191/10,0))</f>
        <v>4835</v>
      </c>
      <c r="F191" s="22">
        <f>IF(Notes!$B$2="June",ROUND('Budget by Source'!F191/10,0)+S191,ROUND('Budget by Source'!F191/10,0))</f>
        <v>4577</v>
      </c>
      <c r="G191" s="22">
        <f>IF(Notes!$B$2="June",ROUND('Budget by Source'!G191/10,0)+T191,ROUND('Budget by Source'!G191/10,0))</f>
        <v>25816</v>
      </c>
      <c r="H191" s="22">
        <f t="shared" si="6"/>
        <v>334402</v>
      </c>
      <c r="I191" s="22">
        <f>INDEX(Data[],MATCH($A191,Data[Dist],0),MATCH(I$5,Data[#Headers],0))</f>
        <v>416132</v>
      </c>
      <c r="K191" s="70">
        <f>INDEX('Payment Total'!$A$7:$H$336,MATCH('Payment by Source'!$A191,'Payment Total'!$A$7:$A$336,0),6)-I191</f>
        <v>0</v>
      </c>
      <c r="P191" s="158">
        <f>INDEX('Budget by Source'!$A$6:$I$335,MATCH('Payment by Source'!$A191,'Budget by Source'!$A$6:$A$335,0),MATCH(P$3,'Budget by Source'!$A$5:$I$5,0))-(ROUND(INDEX('Budget by Source'!$A$6:$I$335,MATCH('Payment by Source'!$A191,'Budget by Source'!$A$6:$A$335,0),MATCH(P$3,'Budget by Source'!$A$5:$I$5,0))/10,0)*10)</f>
        <v>0</v>
      </c>
      <c r="Q191" s="158">
        <f>INDEX('Budget by Source'!$A$6:$I$335,MATCH('Payment by Source'!$A191,'Budget by Source'!$A$6:$A$335,0),MATCH(Q$3,'Budget by Source'!$A$5:$I$5,0))-(ROUND(INDEX('Budget by Source'!$A$6:$I$335,MATCH('Payment by Source'!$A191,'Budget by Source'!$A$6:$A$335,0),MATCH(Q$3,'Budget by Source'!$A$5:$I$5,0))/10,0)*10)</f>
        <v>-2</v>
      </c>
      <c r="R191" s="158">
        <f>INDEX('Budget by Source'!$A$6:$I$335,MATCH('Payment by Source'!$A191,'Budget by Source'!$A$6:$A$335,0),MATCH(R$3,'Budget by Source'!$A$5:$I$5,0))-(ROUND(INDEX('Budget by Source'!$A$6:$I$335,MATCH('Payment by Source'!$A191,'Budget by Source'!$A$6:$A$335,0),MATCH(R$3,'Budget by Source'!$A$5:$I$5,0))/10,0)*10)</f>
        <v>0</v>
      </c>
      <c r="S191" s="158">
        <f>INDEX('Budget by Source'!$A$6:$I$335,MATCH('Payment by Source'!$A191,'Budget by Source'!$A$6:$A$335,0),MATCH(S$3,'Budget by Source'!$A$5:$I$5,0))-(ROUND(INDEX('Budget by Source'!$A$6:$I$335,MATCH('Payment by Source'!$A191,'Budget by Source'!$A$6:$A$335,0),MATCH(S$3,'Budget by Source'!$A$5:$I$5,0))/10,0)*10)</f>
        <v>-1</v>
      </c>
      <c r="T191" s="158">
        <f>INDEX('Budget by Source'!$A$6:$I$335,MATCH('Payment by Source'!$A191,'Budget by Source'!$A$6:$A$335,0),MATCH(T$3,'Budget by Source'!$A$5:$I$5,0))-(ROUND(INDEX('Budget by Source'!$A$6:$I$335,MATCH('Payment by Source'!$A191,'Budget by Source'!$A$6:$A$335,0),MATCH(T$3,'Budget by Source'!$A$5:$I$5,0))/10,0)*10)</f>
        <v>-4</v>
      </c>
      <c r="U191" s="159">
        <f>INDEX('Budget by Source'!$A$6:$I$335,MATCH('Payment by Source'!$A191,'Budget by Source'!$A$6:$A$335,0),MATCH(U$3,'Budget by Source'!$A$5:$I$5,0))</f>
        <v>3357129</v>
      </c>
      <c r="V191" s="156">
        <f t="shared" si="7"/>
        <v>335713</v>
      </c>
      <c r="W191" s="156">
        <f t="shared" si="8"/>
        <v>3357130</v>
      </c>
    </row>
    <row r="192" spans="1:23" x14ac:dyDescent="0.2">
      <c r="A192" s="23" t="str">
        <f>Data!B188</f>
        <v>4212</v>
      </c>
      <c r="B192" s="21" t="str">
        <f>INDEX(Data[],MATCH($A192,Data[Dist],0),MATCH(B$5,Data[#Headers],0))</f>
        <v>Melcher-Dallas</v>
      </c>
      <c r="C192" s="22">
        <f>IF(Notes!$B$2="June",ROUND('Budget by Source'!C192/10,0)+P192,ROUND('Budget by Source'!C192/10,0))</f>
        <v>6365</v>
      </c>
      <c r="D192" s="22">
        <f>IF(Notes!$B$2="June",ROUND('Budget by Source'!D192/10,0)+Q192,ROUND('Budget by Source'!D192/10,0))</f>
        <v>22797</v>
      </c>
      <c r="E192" s="22">
        <f>IF(Notes!$B$2="June",ROUND('Budget by Source'!E192/10,0)+R192,ROUND('Budget by Source'!E192/10,0))</f>
        <v>2810</v>
      </c>
      <c r="F192" s="22">
        <f>IF(Notes!$B$2="June",ROUND('Budget by Source'!F192/10,0)+S192,ROUND('Budget by Source'!F192/10,0))</f>
        <v>2356</v>
      </c>
      <c r="G192" s="22">
        <f>IF(Notes!$B$2="June",ROUND('Budget by Source'!G192/10,0)+T192,ROUND('Budget by Source'!G192/10,0))</f>
        <v>11095</v>
      </c>
      <c r="H192" s="22">
        <f t="shared" si="6"/>
        <v>175487</v>
      </c>
      <c r="I192" s="22">
        <f>INDEX(Data[],MATCH($A192,Data[Dist],0),MATCH(I$5,Data[#Headers],0))</f>
        <v>220910</v>
      </c>
      <c r="K192" s="70">
        <f>INDEX('Payment Total'!$A$7:$H$336,MATCH('Payment by Source'!$A192,'Payment Total'!$A$7:$A$336,0),6)-I192</f>
        <v>0</v>
      </c>
      <c r="P192" s="158">
        <f>INDEX('Budget by Source'!$A$6:$I$335,MATCH('Payment by Source'!$A192,'Budget by Source'!$A$6:$A$335,0),MATCH(P$3,'Budget by Source'!$A$5:$I$5,0))-(ROUND(INDEX('Budget by Source'!$A$6:$I$335,MATCH('Payment by Source'!$A192,'Budget by Source'!$A$6:$A$335,0),MATCH(P$3,'Budget by Source'!$A$5:$I$5,0))/10,0)*10)</f>
        <v>-3</v>
      </c>
      <c r="Q192" s="158">
        <f>INDEX('Budget by Source'!$A$6:$I$335,MATCH('Payment by Source'!$A192,'Budget by Source'!$A$6:$A$335,0),MATCH(Q$3,'Budget by Source'!$A$5:$I$5,0))-(ROUND(INDEX('Budget by Source'!$A$6:$I$335,MATCH('Payment by Source'!$A192,'Budget by Source'!$A$6:$A$335,0),MATCH(Q$3,'Budget by Source'!$A$5:$I$5,0))/10,0)*10)</f>
        <v>2</v>
      </c>
      <c r="R192" s="158">
        <f>INDEX('Budget by Source'!$A$6:$I$335,MATCH('Payment by Source'!$A192,'Budget by Source'!$A$6:$A$335,0),MATCH(R$3,'Budget by Source'!$A$5:$I$5,0))-(ROUND(INDEX('Budget by Source'!$A$6:$I$335,MATCH('Payment by Source'!$A192,'Budget by Source'!$A$6:$A$335,0),MATCH(R$3,'Budget by Source'!$A$5:$I$5,0))/10,0)*10)</f>
        <v>-3</v>
      </c>
      <c r="S192" s="158">
        <f>INDEX('Budget by Source'!$A$6:$I$335,MATCH('Payment by Source'!$A192,'Budget by Source'!$A$6:$A$335,0),MATCH(S$3,'Budget by Source'!$A$5:$I$5,0))-(ROUND(INDEX('Budget by Source'!$A$6:$I$335,MATCH('Payment by Source'!$A192,'Budget by Source'!$A$6:$A$335,0),MATCH(S$3,'Budget by Source'!$A$5:$I$5,0))/10,0)*10)</f>
        <v>-5</v>
      </c>
      <c r="T192" s="158">
        <f>INDEX('Budget by Source'!$A$6:$I$335,MATCH('Payment by Source'!$A192,'Budget by Source'!$A$6:$A$335,0),MATCH(T$3,'Budget by Source'!$A$5:$I$5,0))-(ROUND(INDEX('Budget by Source'!$A$6:$I$335,MATCH('Payment by Source'!$A192,'Budget by Source'!$A$6:$A$335,0),MATCH(T$3,'Budget by Source'!$A$5:$I$5,0))/10,0)*10)</f>
        <v>4</v>
      </c>
      <c r="U192" s="159">
        <f>INDEX('Budget by Source'!$A$6:$I$335,MATCH('Payment by Source'!$A192,'Budget by Source'!$A$6:$A$335,0),MATCH(U$3,'Budget by Source'!$A$5:$I$5,0))</f>
        <v>1833511</v>
      </c>
      <c r="V192" s="156">
        <f t="shared" si="7"/>
        <v>183351</v>
      </c>
      <c r="W192" s="156">
        <f t="shared" si="8"/>
        <v>1833510</v>
      </c>
    </row>
    <row r="193" spans="1:23" x14ac:dyDescent="0.2">
      <c r="A193" s="23" t="str">
        <f>Data!B189</f>
        <v>4269</v>
      </c>
      <c r="B193" s="21" t="str">
        <f>INDEX(Data[],MATCH($A193,Data[Dist],0),MATCH(B$5,Data[#Headers],0))</f>
        <v>Midland</v>
      </c>
      <c r="C193" s="22">
        <f>IF(Notes!$B$2="June",ROUND('Budget by Source'!C193/10,0)+P193,ROUND('Budget by Source'!C193/10,0))</f>
        <v>8047</v>
      </c>
      <c r="D193" s="22">
        <f>IF(Notes!$B$2="June",ROUND('Budget by Source'!D193/10,0)+Q193,ROUND('Budget by Source'!D193/10,0))</f>
        <v>34311</v>
      </c>
      <c r="E193" s="22">
        <f>IF(Notes!$B$2="June",ROUND('Budget by Source'!E193/10,0)+R193,ROUND('Budget by Source'!E193/10,0))</f>
        <v>3615</v>
      </c>
      <c r="F193" s="22">
        <f>IF(Notes!$B$2="June",ROUND('Budget by Source'!F193/10,0)+S193,ROUND('Budget by Source'!F193/10,0))</f>
        <v>3409</v>
      </c>
      <c r="G193" s="22">
        <f>IF(Notes!$B$2="June",ROUND('Budget by Source'!G193/10,0)+T193,ROUND('Budget by Source'!G193/10,0))</f>
        <v>17870</v>
      </c>
      <c r="H193" s="22">
        <f t="shared" si="6"/>
        <v>226017</v>
      </c>
      <c r="I193" s="22">
        <f>INDEX(Data[],MATCH($A193,Data[Dist],0),MATCH(I$5,Data[#Headers],0))</f>
        <v>293269</v>
      </c>
      <c r="K193" s="70">
        <f>INDEX('Payment Total'!$A$7:$H$336,MATCH('Payment by Source'!$A193,'Payment Total'!$A$7:$A$336,0),6)-I193</f>
        <v>0</v>
      </c>
      <c r="P193" s="158">
        <f>INDEX('Budget by Source'!$A$6:$I$335,MATCH('Payment by Source'!$A193,'Budget by Source'!$A$6:$A$335,0),MATCH(P$3,'Budget by Source'!$A$5:$I$5,0))-(ROUND(INDEX('Budget by Source'!$A$6:$I$335,MATCH('Payment by Source'!$A193,'Budget by Source'!$A$6:$A$335,0),MATCH(P$3,'Budget by Source'!$A$5:$I$5,0))/10,0)*10)</f>
        <v>4</v>
      </c>
      <c r="Q193" s="158">
        <f>INDEX('Budget by Source'!$A$6:$I$335,MATCH('Payment by Source'!$A193,'Budget by Source'!$A$6:$A$335,0),MATCH(Q$3,'Budget by Source'!$A$5:$I$5,0))-(ROUND(INDEX('Budget by Source'!$A$6:$I$335,MATCH('Payment by Source'!$A193,'Budget by Source'!$A$6:$A$335,0),MATCH(Q$3,'Budget by Source'!$A$5:$I$5,0))/10,0)*10)</f>
        <v>-1</v>
      </c>
      <c r="R193" s="158">
        <f>INDEX('Budget by Source'!$A$6:$I$335,MATCH('Payment by Source'!$A193,'Budget by Source'!$A$6:$A$335,0),MATCH(R$3,'Budget by Source'!$A$5:$I$5,0))-(ROUND(INDEX('Budget by Source'!$A$6:$I$335,MATCH('Payment by Source'!$A193,'Budget by Source'!$A$6:$A$335,0),MATCH(R$3,'Budget by Source'!$A$5:$I$5,0))/10,0)*10)</f>
        <v>2</v>
      </c>
      <c r="S193" s="158">
        <f>INDEX('Budget by Source'!$A$6:$I$335,MATCH('Payment by Source'!$A193,'Budget by Source'!$A$6:$A$335,0),MATCH(S$3,'Budget by Source'!$A$5:$I$5,0))-(ROUND(INDEX('Budget by Source'!$A$6:$I$335,MATCH('Payment by Source'!$A193,'Budget by Source'!$A$6:$A$335,0),MATCH(S$3,'Budget by Source'!$A$5:$I$5,0))/10,0)*10)</f>
        <v>1</v>
      </c>
      <c r="T193" s="158">
        <f>INDEX('Budget by Source'!$A$6:$I$335,MATCH('Payment by Source'!$A193,'Budget by Source'!$A$6:$A$335,0),MATCH(T$3,'Budget by Source'!$A$5:$I$5,0))-(ROUND(INDEX('Budget by Source'!$A$6:$I$335,MATCH('Payment by Source'!$A193,'Budget by Source'!$A$6:$A$335,0),MATCH(T$3,'Budget by Source'!$A$5:$I$5,0))/10,0)*10)</f>
        <v>-4</v>
      </c>
      <c r="U193" s="159">
        <f>INDEX('Budget by Source'!$A$6:$I$335,MATCH('Payment by Source'!$A193,'Budget by Source'!$A$6:$A$335,0),MATCH(U$3,'Budget by Source'!$A$5:$I$5,0))</f>
        <v>2269114</v>
      </c>
      <c r="V193" s="156">
        <f t="shared" si="7"/>
        <v>226911</v>
      </c>
      <c r="W193" s="156">
        <f t="shared" si="8"/>
        <v>2269110</v>
      </c>
    </row>
    <row r="194" spans="1:23" x14ac:dyDescent="0.2">
      <c r="A194" s="23" t="str">
        <f>Data!B190</f>
        <v>4271</v>
      </c>
      <c r="B194" s="21" t="str">
        <f>INDEX(Data[],MATCH($A194,Data[Dist],0),MATCH(B$5,Data[#Headers],0))</f>
        <v>Mid-Prairie</v>
      </c>
      <c r="C194" s="22">
        <f>IF(Notes!$B$2="June",ROUND('Budget by Source'!C194/10,0)+P194,ROUND('Budget by Source'!C194/10,0))</f>
        <v>32170</v>
      </c>
      <c r="D194" s="22">
        <f>IF(Notes!$B$2="June",ROUND('Budget by Source'!D194/10,0)+Q194,ROUND('Budget by Source'!D194/10,0))</f>
        <v>74545</v>
      </c>
      <c r="E194" s="22">
        <f>IF(Notes!$B$2="June",ROUND('Budget by Source'!E194/10,0)+R194,ROUND('Budget by Source'!E194/10,0))</f>
        <v>8354</v>
      </c>
      <c r="F194" s="22">
        <f>IF(Notes!$B$2="June",ROUND('Budget by Source'!F194/10,0)+S194,ROUND('Budget by Source'!F194/10,0))</f>
        <v>8113</v>
      </c>
      <c r="G194" s="22">
        <f>IF(Notes!$B$2="June",ROUND('Budget by Source'!G194/10,0)+T194,ROUND('Budget by Source'!G194/10,0))</f>
        <v>40771</v>
      </c>
      <c r="H194" s="22">
        <f t="shared" si="6"/>
        <v>582416</v>
      </c>
      <c r="I194" s="22">
        <f>INDEX(Data[],MATCH($A194,Data[Dist],0),MATCH(I$5,Data[#Headers],0))</f>
        <v>746369</v>
      </c>
      <c r="K194" s="70">
        <f>INDEX('Payment Total'!$A$7:$H$336,MATCH('Payment by Source'!$A194,'Payment Total'!$A$7:$A$336,0),6)-I194</f>
        <v>0</v>
      </c>
      <c r="P194" s="158">
        <f>INDEX('Budget by Source'!$A$6:$I$335,MATCH('Payment by Source'!$A194,'Budget by Source'!$A$6:$A$335,0),MATCH(P$3,'Budget by Source'!$A$5:$I$5,0))-(ROUND(INDEX('Budget by Source'!$A$6:$I$335,MATCH('Payment by Source'!$A194,'Budget by Source'!$A$6:$A$335,0),MATCH(P$3,'Budget by Source'!$A$5:$I$5,0))/10,0)*10)</f>
        <v>-4</v>
      </c>
      <c r="Q194" s="158">
        <f>INDEX('Budget by Source'!$A$6:$I$335,MATCH('Payment by Source'!$A194,'Budget by Source'!$A$6:$A$335,0),MATCH(Q$3,'Budget by Source'!$A$5:$I$5,0))-(ROUND(INDEX('Budget by Source'!$A$6:$I$335,MATCH('Payment by Source'!$A194,'Budget by Source'!$A$6:$A$335,0),MATCH(Q$3,'Budget by Source'!$A$5:$I$5,0))/10,0)*10)</f>
        <v>-4</v>
      </c>
      <c r="R194" s="158">
        <f>INDEX('Budget by Source'!$A$6:$I$335,MATCH('Payment by Source'!$A194,'Budget by Source'!$A$6:$A$335,0),MATCH(R$3,'Budget by Source'!$A$5:$I$5,0))-(ROUND(INDEX('Budget by Source'!$A$6:$I$335,MATCH('Payment by Source'!$A194,'Budget by Source'!$A$6:$A$335,0),MATCH(R$3,'Budget by Source'!$A$5:$I$5,0))/10,0)*10)</f>
        <v>3</v>
      </c>
      <c r="S194" s="158">
        <f>INDEX('Budget by Source'!$A$6:$I$335,MATCH('Payment by Source'!$A194,'Budget by Source'!$A$6:$A$335,0),MATCH(S$3,'Budget by Source'!$A$5:$I$5,0))-(ROUND(INDEX('Budget by Source'!$A$6:$I$335,MATCH('Payment by Source'!$A194,'Budget by Source'!$A$6:$A$335,0),MATCH(S$3,'Budget by Source'!$A$5:$I$5,0))/10,0)*10)</f>
        <v>-4</v>
      </c>
      <c r="T194" s="158">
        <f>INDEX('Budget by Source'!$A$6:$I$335,MATCH('Payment by Source'!$A194,'Budget by Source'!$A$6:$A$335,0),MATCH(T$3,'Budget by Source'!$A$5:$I$5,0))-(ROUND(INDEX('Budget by Source'!$A$6:$I$335,MATCH('Payment by Source'!$A194,'Budget by Source'!$A$6:$A$335,0),MATCH(T$3,'Budget by Source'!$A$5:$I$5,0))/10,0)*10)</f>
        <v>1</v>
      </c>
      <c r="U194" s="159">
        <f>INDEX('Budget by Source'!$A$6:$I$335,MATCH('Payment by Source'!$A194,'Budget by Source'!$A$6:$A$335,0),MATCH(U$3,'Budget by Source'!$A$5:$I$5,0))</f>
        <v>5844893</v>
      </c>
      <c r="V194" s="156">
        <f t="shared" si="7"/>
        <v>584489</v>
      </c>
      <c r="W194" s="156">
        <f t="shared" si="8"/>
        <v>5844890</v>
      </c>
    </row>
    <row r="195" spans="1:23" x14ac:dyDescent="0.2">
      <c r="A195" s="23" t="str">
        <f>Data!B191</f>
        <v>4356</v>
      </c>
      <c r="B195" s="21" t="str">
        <f>INDEX(Data[],MATCH($A195,Data[Dist],0),MATCH(B$5,Data[#Headers],0))</f>
        <v>Missouri Valley</v>
      </c>
      <c r="C195" s="22">
        <f>IF(Notes!$B$2="June",ROUND('Budget by Source'!C195/10,0)+P195,ROUND('Budget by Source'!C195/10,0))</f>
        <v>13403</v>
      </c>
      <c r="D195" s="22">
        <f>IF(Notes!$B$2="June",ROUND('Budget by Source'!D195/10,0)+Q195,ROUND('Budget by Source'!D195/10,0))</f>
        <v>46351</v>
      </c>
      <c r="E195" s="22">
        <f>IF(Notes!$B$2="June",ROUND('Budget by Source'!E195/10,0)+R195,ROUND('Budget by Source'!E195/10,0))</f>
        <v>5452</v>
      </c>
      <c r="F195" s="22">
        <f>IF(Notes!$B$2="June",ROUND('Budget by Source'!F195/10,0)+S195,ROUND('Budget by Source'!F195/10,0))</f>
        <v>4620</v>
      </c>
      <c r="G195" s="22">
        <f>IF(Notes!$B$2="June",ROUND('Budget by Source'!G195/10,0)+T195,ROUND('Budget by Source'!G195/10,0))</f>
        <v>27219</v>
      </c>
      <c r="H195" s="22">
        <f t="shared" si="6"/>
        <v>404044</v>
      </c>
      <c r="I195" s="22">
        <f>INDEX(Data[],MATCH($A195,Data[Dist],0),MATCH(I$5,Data[#Headers],0))</f>
        <v>501089</v>
      </c>
      <c r="K195" s="70">
        <f>INDEX('Payment Total'!$A$7:$H$336,MATCH('Payment by Source'!$A195,'Payment Total'!$A$7:$A$336,0),6)-I195</f>
        <v>0</v>
      </c>
      <c r="P195" s="158">
        <f>INDEX('Budget by Source'!$A$6:$I$335,MATCH('Payment by Source'!$A195,'Budget by Source'!$A$6:$A$335,0),MATCH(P$3,'Budget by Source'!$A$5:$I$5,0))-(ROUND(INDEX('Budget by Source'!$A$6:$I$335,MATCH('Payment by Source'!$A195,'Budget by Source'!$A$6:$A$335,0),MATCH(P$3,'Budget by Source'!$A$5:$I$5,0))/10,0)*10)</f>
        <v>-3</v>
      </c>
      <c r="Q195" s="158">
        <f>INDEX('Budget by Source'!$A$6:$I$335,MATCH('Payment by Source'!$A195,'Budget by Source'!$A$6:$A$335,0),MATCH(Q$3,'Budget by Source'!$A$5:$I$5,0))-(ROUND(INDEX('Budget by Source'!$A$6:$I$335,MATCH('Payment by Source'!$A195,'Budget by Source'!$A$6:$A$335,0),MATCH(Q$3,'Budget by Source'!$A$5:$I$5,0))/10,0)*10)</f>
        <v>3</v>
      </c>
      <c r="R195" s="158">
        <f>INDEX('Budget by Source'!$A$6:$I$335,MATCH('Payment by Source'!$A195,'Budget by Source'!$A$6:$A$335,0),MATCH(R$3,'Budget by Source'!$A$5:$I$5,0))-(ROUND(INDEX('Budget by Source'!$A$6:$I$335,MATCH('Payment by Source'!$A195,'Budget by Source'!$A$6:$A$335,0),MATCH(R$3,'Budget by Source'!$A$5:$I$5,0))/10,0)*10)</f>
        <v>4</v>
      </c>
      <c r="S195" s="158">
        <f>INDEX('Budget by Source'!$A$6:$I$335,MATCH('Payment by Source'!$A195,'Budget by Source'!$A$6:$A$335,0),MATCH(S$3,'Budget by Source'!$A$5:$I$5,0))-(ROUND(INDEX('Budget by Source'!$A$6:$I$335,MATCH('Payment by Source'!$A195,'Budget by Source'!$A$6:$A$335,0),MATCH(S$3,'Budget by Source'!$A$5:$I$5,0))/10,0)*10)</f>
        <v>3</v>
      </c>
      <c r="T195" s="158">
        <f>INDEX('Budget by Source'!$A$6:$I$335,MATCH('Payment by Source'!$A195,'Budget by Source'!$A$6:$A$335,0),MATCH(T$3,'Budget by Source'!$A$5:$I$5,0))-(ROUND(INDEX('Budget by Source'!$A$6:$I$335,MATCH('Payment by Source'!$A195,'Budget by Source'!$A$6:$A$335,0),MATCH(T$3,'Budget by Source'!$A$5:$I$5,0))/10,0)*10)</f>
        <v>-4</v>
      </c>
      <c r="U195" s="159">
        <f>INDEX('Budget by Source'!$A$6:$I$335,MATCH('Payment by Source'!$A195,'Budget by Source'!$A$6:$A$335,0),MATCH(U$3,'Budget by Source'!$A$5:$I$5,0))</f>
        <v>4054345</v>
      </c>
      <c r="V195" s="156">
        <f t="shared" si="7"/>
        <v>405435</v>
      </c>
      <c r="W195" s="156">
        <f t="shared" si="8"/>
        <v>4054350</v>
      </c>
    </row>
    <row r="196" spans="1:23" x14ac:dyDescent="0.2">
      <c r="A196" s="23" t="str">
        <f>Data!B192</f>
        <v>4419</v>
      </c>
      <c r="B196" s="21" t="str">
        <f>INDEX(Data[],MATCH($A196,Data[Dist],0),MATCH(B$5,Data[#Headers],0))</f>
        <v>MFL Mar Mac</v>
      </c>
      <c r="C196" s="22">
        <f>IF(Notes!$B$2="June",ROUND('Budget by Source'!C196/10,0)+P196,ROUND('Budget by Source'!C196/10,0))</f>
        <v>15085</v>
      </c>
      <c r="D196" s="22">
        <f>IF(Notes!$B$2="June",ROUND('Budget by Source'!D196/10,0)+Q196,ROUND('Budget by Source'!D196/10,0))</f>
        <v>45913</v>
      </c>
      <c r="E196" s="22">
        <f>IF(Notes!$B$2="June",ROUND('Budget by Source'!E196/10,0)+R196,ROUND('Budget by Source'!E196/10,0))</f>
        <v>5651</v>
      </c>
      <c r="F196" s="22">
        <f>IF(Notes!$B$2="June",ROUND('Budget by Source'!F196/10,0)+S196,ROUND('Budget by Source'!F196/10,0))</f>
        <v>5574</v>
      </c>
      <c r="G196" s="22">
        <f>IF(Notes!$B$2="June",ROUND('Budget by Source'!G196/10,0)+T196,ROUND('Budget by Source'!G196/10,0))</f>
        <v>25131</v>
      </c>
      <c r="H196" s="22">
        <f t="shared" si="6"/>
        <v>360185</v>
      </c>
      <c r="I196" s="22">
        <f>INDEX(Data[],MATCH($A196,Data[Dist],0),MATCH(I$5,Data[#Headers],0))</f>
        <v>457539</v>
      </c>
      <c r="K196" s="70">
        <f>INDEX('Payment Total'!$A$7:$H$336,MATCH('Payment by Source'!$A196,'Payment Total'!$A$7:$A$336,0),6)-I196</f>
        <v>0</v>
      </c>
      <c r="P196" s="158">
        <f>INDEX('Budget by Source'!$A$6:$I$335,MATCH('Payment by Source'!$A196,'Budget by Source'!$A$6:$A$335,0),MATCH(P$3,'Budget by Source'!$A$5:$I$5,0))-(ROUND(INDEX('Budget by Source'!$A$6:$I$335,MATCH('Payment by Source'!$A196,'Budget by Source'!$A$6:$A$335,0),MATCH(P$3,'Budget by Source'!$A$5:$I$5,0))/10,0)*10)</f>
        <v>4</v>
      </c>
      <c r="Q196" s="158">
        <f>INDEX('Budget by Source'!$A$6:$I$335,MATCH('Payment by Source'!$A196,'Budget by Source'!$A$6:$A$335,0),MATCH(Q$3,'Budget by Source'!$A$5:$I$5,0))-(ROUND(INDEX('Budget by Source'!$A$6:$I$335,MATCH('Payment by Source'!$A196,'Budget by Source'!$A$6:$A$335,0),MATCH(Q$3,'Budget by Source'!$A$5:$I$5,0))/10,0)*10)</f>
        <v>-2</v>
      </c>
      <c r="R196" s="158">
        <f>INDEX('Budget by Source'!$A$6:$I$335,MATCH('Payment by Source'!$A196,'Budget by Source'!$A$6:$A$335,0),MATCH(R$3,'Budget by Source'!$A$5:$I$5,0))-(ROUND(INDEX('Budget by Source'!$A$6:$I$335,MATCH('Payment by Source'!$A196,'Budget by Source'!$A$6:$A$335,0),MATCH(R$3,'Budget by Source'!$A$5:$I$5,0))/10,0)*10)</f>
        <v>1</v>
      </c>
      <c r="S196" s="158">
        <f>INDEX('Budget by Source'!$A$6:$I$335,MATCH('Payment by Source'!$A196,'Budget by Source'!$A$6:$A$335,0),MATCH(S$3,'Budget by Source'!$A$5:$I$5,0))-(ROUND(INDEX('Budget by Source'!$A$6:$I$335,MATCH('Payment by Source'!$A196,'Budget by Source'!$A$6:$A$335,0),MATCH(S$3,'Budget by Source'!$A$5:$I$5,0))/10,0)*10)</f>
        <v>0</v>
      </c>
      <c r="T196" s="158">
        <f>INDEX('Budget by Source'!$A$6:$I$335,MATCH('Payment by Source'!$A196,'Budget by Source'!$A$6:$A$335,0),MATCH(T$3,'Budget by Source'!$A$5:$I$5,0))-(ROUND(INDEX('Budget by Source'!$A$6:$I$335,MATCH('Payment by Source'!$A196,'Budget by Source'!$A$6:$A$335,0),MATCH(T$3,'Budget by Source'!$A$5:$I$5,0))/10,0)*10)</f>
        <v>0</v>
      </c>
      <c r="U196" s="159">
        <f>INDEX('Budget by Source'!$A$6:$I$335,MATCH('Payment by Source'!$A196,'Budget by Source'!$A$6:$A$335,0),MATCH(U$3,'Budget by Source'!$A$5:$I$5,0))</f>
        <v>3614505</v>
      </c>
      <c r="V196" s="156">
        <f t="shared" si="7"/>
        <v>361451</v>
      </c>
      <c r="W196" s="156">
        <f t="shared" si="8"/>
        <v>3614510</v>
      </c>
    </row>
    <row r="197" spans="1:23" x14ac:dyDescent="0.2">
      <c r="A197" s="23" t="str">
        <f>Data!B193</f>
        <v>4437</v>
      </c>
      <c r="B197" s="21" t="str">
        <f>INDEX(Data[],MATCH($A197,Data[Dist],0),MATCH(B$5,Data[#Headers],0))</f>
        <v>Montezuma</v>
      </c>
      <c r="C197" s="22">
        <f>IF(Notes!$B$2="June",ROUND('Budget by Source'!C197/10,0)+P197,ROUND('Budget by Source'!C197/10,0))</f>
        <v>9384</v>
      </c>
      <c r="D197" s="22">
        <f>IF(Notes!$B$2="June",ROUND('Budget by Source'!D197/10,0)+Q197,ROUND('Budget by Source'!D197/10,0))</f>
        <v>28613</v>
      </c>
      <c r="E197" s="22">
        <f>IF(Notes!$B$2="June",ROUND('Budget by Source'!E197/10,0)+R197,ROUND('Budget by Source'!E197/10,0))</f>
        <v>3685</v>
      </c>
      <c r="F197" s="22">
        <f>IF(Notes!$B$2="June",ROUND('Budget by Source'!F197/10,0)+S197,ROUND('Budget by Source'!F197/10,0))</f>
        <v>2791</v>
      </c>
      <c r="G197" s="22">
        <f>IF(Notes!$B$2="June",ROUND('Budget by Source'!G197/10,0)+T197,ROUND('Budget by Source'!G197/10,0))</f>
        <v>17006</v>
      </c>
      <c r="H197" s="22">
        <f t="shared" si="6"/>
        <v>167250</v>
      </c>
      <c r="I197" s="22">
        <f>INDEX(Data[],MATCH($A197,Data[Dist],0),MATCH(I$5,Data[#Headers],0))</f>
        <v>228729</v>
      </c>
      <c r="K197" s="70">
        <f>INDEX('Payment Total'!$A$7:$H$336,MATCH('Payment by Source'!$A197,'Payment Total'!$A$7:$A$336,0),6)-I197</f>
        <v>0</v>
      </c>
      <c r="P197" s="158">
        <f>INDEX('Budget by Source'!$A$6:$I$335,MATCH('Payment by Source'!$A197,'Budget by Source'!$A$6:$A$335,0),MATCH(P$3,'Budget by Source'!$A$5:$I$5,0))-(ROUND(INDEX('Budget by Source'!$A$6:$I$335,MATCH('Payment by Source'!$A197,'Budget by Source'!$A$6:$A$335,0),MATCH(P$3,'Budget by Source'!$A$5:$I$5,0))/10,0)*10)</f>
        <v>0</v>
      </c>
      <c r="Q197" s="158">
        <f>INDEX('Budget by Source'!$A$6:$I$335,MATCH('Payment by Source'!$A197,'Budget by Source'!$A$6:$A$335,0),MATCH(Q$3,'Budget by Source'!$A$5:$I$5,0))-(ROUND(INDEX('Budget by Source'!$A$6:$I$335,MATCH('Payment by Source'!$A197,'Budget by Source'!$A$6:$A$335,0),MATCH(Q$3,'Budget by Source'!$A$5:$I$5,0))/10,0)*10)</f>
        <v>1</v>
      </c>
      <c r="R197" s="158">
        <f>INDEX('Budget by Source'!$A$6:$I$335,MATCH('Payment by Source'!$A197,'Budget by Source'!$A$6:$A$335,0),MATCH(R$3,'Budget by Source'!$A$5:$I$5,0))-(ROUND(INDEX('Budget by Source'!$A$6:$I$335,MATCH('Payment by Source'!$A197,'Budget by Source'!$A$6:$A$335,0),MATCH(R$3,'Budget by Source'!$A$5:$I$5,0))/10,0)*10)</f>
        <v>3</v>
      </c>
      <c r="S197" s="158">
        <f>INDEX('Budget by Source'!$A$6:$I$335,MATCH('Payment by Source'!$A197,'Budget by Source'!$A$6:$A$335,0),MATCH(S$3,'Budget by Source'!$A$5:$I$5,0))-(ROUND(INDEX('Budget by Source'!$A$6:$I$335,MATCH('Payment by Source'!$A197,'Budget by Source'!$A$6:$A$335,0),MATCH(S$3,'Budget by Source'!$A$5:$I$5,0))/10,0)*10)</f>
        <v>3</v>
      </c>
      <c r="T197" s="158">
        <f>INDEX('Budget by Source'!$A$6:$I$335,MATCH('Payment by Source'!$A197,'Budget by Source'!$A$6:$A$335,0),MATCH(T$3,'Budget by Source'!$A$5:$I$5,0))-(ROUND(INDEX('Budget by Source'!$A$6:$I$335,MATCH('Payment by Source'!$A197,'Budget by Source'!$A$6:$A$335,0),MATCH(T$3,'Budget by Source'!$A$5:$I$5,0))/10,0)*10)</f>
        <v>-5</v>
      </c>
      <c r="U197" s="159">
        <f>INDEX('Budget by Source'!$A$6:$I$335,MATCH('Payment by Source'!$A197,'Budget by Source'!$A$6:$A$335,0),MATCH(U$3,'Budget by Source'!$A$5:$I$5,0))</f>
        <v>1680803</v>
      </c>
      <c r="V197" s="156">
        <f t="shared" si="7"/>
        <v>168080</v>
      </c>
      <c r="W197" s="156">
        <f t="shared" si="8"/>
        <v>1680800</v>
      </c>
    </row>
    <row r="198" spans="1:23" x14ac:dyDescent="0.2">
      <c r="A198" s="23" t="str">
        <f>Data!B194</f>
        <v>4446</v>
      </c>
      <c r="B198" s="21" t="str">
        <f>INDEX(Data[],MATCH($A198,Data[Dist],0),MATCH(B$5,Data[#Headers],0))</f>
        <v>Monticello</v>
      </c>
      <c r="C198" s="22">
        <f>IF(Notes!$B$2="June",ROUND('Budget by Source'!C198/10,0)+P198,ROUND('Budget by Source'!C198/10,0))</f>
        <v>18767</v>
      </c>
      <c r="D198" s="22">
        <f>IF(Notes!$B$2="June",ROUND('Budget by Source'!D198/10,0)+Q198,ROUND('Budget by Source'!D198/10,0))</f>
        <v>59531</v>
      </c>
      <c r="E198" s="22">
        <f>IF(Notes!$B$2="June",ROUND('Budget by Source'!E198/10,0)+R198,ROUND('Budget by Source'!E198/10,0))</f>
        <v>6277</v>
      </c>
      <c r="F198" s="22">
        <f>IF(Notes!$B$2="June",ROUND('Budget by Source'!F198/10,0)+S198,ROUND('Budget by Source'!F198/10,0))</f>
        <v>5803</v>
      </c>
      <c r="G198" s="22">
        <f>IF(Notes!$B$2="June",ROUND('Budget by Source'!G198/10,0)+T198,ROUND('Budget by Source'!G198/10,0))</f>
        <v>33156</v>
      </c>
      <c r="H198" s="22">
        <f t="shared" si="6"/>
        <v>464518</v>
      </c>
      <c r="I198" s="22">
        <f>INDEX(Data[],MATCH($A198,Data[Dist],0),MATCH(I$5,Data[#Headers],0))</f>
        <v>588052</v>
      </c>
      <c r="K198" s="70">
        <f>INDEX('Payment Total'!$A$7:$H$336,MATCH('Payment by Source'!$A198,'Payment Total'!$A$7:$A$336,0),6)-I198</f>
        <v>0</v>
      </c>
      <c r="P198" s="158">
        <f>INDEX('Budget by Source'!$A$6:$I$335,MATCH('Payment by Source'!$A198,'Budget by Source'!$A$6:$A$335,0),MATCH(P$3,'Budget by Source'!$A$5:$I$5,0))-(ROUND(INDEX('Budget by Source'!$A$6:$I$335,MATCH('Payment by Source'!$A198,'Budget by Source'!$A$6:$A$335,0),MATCH(P$3,'Budget by Source'!$A$5:$I$5,0))/10,0)*10)</f>
        <v>-1</v>
      </c>
      <c r="Q198" s="158">
        <f>INDEX('Budget by Source'!$A$6:$I$335,MATCH('Payment by Source'!$A198,'Budget by Source'!$A$6:$A$335,0),MATCH(Q$3,'Budget by Source'!$A$5:$I$5,0))-(ROUND(INDEX('Budget by Source'!$A$6:$I$335,MATCH('Payment by Source'!$A198,'Budget by Source'!$A$6:$A$335,0),MATCH(Q$3,'Budget by Source'!$A$5:$I$5,0))/10,0)*10)</f>
        <v>-3</v>
      </c>
      <c r="R198" s="158">
        <f>INDEX('Budget by Source'!$A$6:$I$335,MATCH('Payment by Source'!$A198,'Budget by Source'!$A$6:$A$335,0),MATCH(R$3,'Budget by Source'!$A$5:$I$5,0))-(ROUND(INDEX('Budget by Source'!$A$6:$I$335,MATCH('Payment by Source'!$A198,'Budget by Source'!$A$6:$A$335,0),MATCH(R$3,'Budget by Source'!$A$5:$I$5,0))/10,0)*10)</f>
        <v>2</v>
      </c>
      <c r="S198" s="158">
        <f>INDEX('Budget by Source'!$A$6:$I$335,MATCH('Payment by Source'!$A198,'Budget by Source'!$A$6:$A$335,0),MATCH(S$3,'Budget by Source'!$A$5:$I$5,0))-(ROUND(INDEX('Budget by Source'!$A$6:$I$335,MATCH('Payment by Source'!$A198,'Budget by Source'!$A$6:$A$335,0),MATCH(S$3,'Budget by Source'!$A$5:$I$5,0))/10,0)*10)</f>
        <v>3</v>
      </c>
      <c r="T198" s="158">
        <f>INDEX('Budget by Source'!$A$6:$I$335,MATCH('Payment by Source'!$A198,'Budget by Source'!$A$6:$A$335,0),MATCH(T$3,'Budget by Source'!$A$5:$I$5,0))-(ROUND(INDEX('Budget by Source'!$A$6:$I$335,MATCH('Payment by Source'!$A198,'Budget by Source'!$A$6:$A$335,0),MATCH(T$3,'Budget by Source'!$A$5:$I$5,0))/10,0)*10)</f>
        <v>-2</v>
      </c>
      <c r="U198" s="159">
        <f>INDEX('Budget by Source'!$A$6:$I$335,MATCH('Payment by Source'!$A198,'Budget by Source'!$A$6:$A$335,0),MATCH(U$3,'Budget by Source'!$A$5:$I$5,0))</f>
        <v>4661728</v>
      </c>
      <c r="V198" s="156">
        <f t="shared" si="7"/>
        <v>466173</v>
      </c>
      <c r="W198" s="156">
        <f t="shared" si="8"/>
        <v>4661730</v>
      </c>
    </row>
    <row r="199" spans="1:23" x14ac:dyDescent="0.2">
      <c r="A199" s="23" t="str">
        <f>Data!B195</f>
        <v>4491</v>
      </c>
      <c r="B199" s="21" t="str">
        <f>INDEX(Data[],MATCH($A199,Data[Dist],0),MATCH(B$5,Data[#Headers],0))</f>
        <v>Moravia</v>
      </c>
      <c r="C199" s="22">
        <f>IF(Notes!$B$2="June",ROUND('Budget by Source'!C199/10,0)+P199,ROUND('Budget by Source'!C199/10,0))</f>
        <v>6365</v>
      </c>
      <c r="D199" s="22">
        <f>IF(Notes!$B$2="June",ROUND('Budget by Source'!D199/10,0)+Q199,ROUND('Budget by Source'!D199/10,0))</f>
        <v>23074</v>
      </c>
      <c r="E199" s="22">
        <f>IF(Notes!$B$2="June",ROUND('Budget by Source'!E199/10,0)+R199,ROUND('Budget by Source'!E199/10,0))</f>
        <v>2877</v>
      </c>
      <c r="F199" s="22">
        <f>IF(Notes!$B$2="June",ROUND('Budget by Source'!F199/10,0)+S199,ROUND('Budget by Source'!F199/10,0))</f>
        <v>2588</v>
      </c>
      <c r="G199" s="22">
        <f>IF(Notes!$B$2="June",ROUND('Budget by Source'!G199/10,0)+T199,ROUND('Budget by Source'!G199/10,0))</f>
        <v>11242</v>
      </c>
      <c r="H199" s="22">
        <f t="shared" ref="H199:H262" si="9">I199-SUM(C199:G199)</f>
        <v>178007</v>
      </c>
      <c r="I199" s="22">
        <f>INDEX(Data[],MATCH($A199,Data[Dist],0),MATCH(I$5,Data[#Headers],0))</f>
        <v>224153</v>
      </c>
      <c r="K199" s="70">
        <f>INDEX('Payment Total'!$A$7:$H$336,MATCH('Payment by Source'!$A199,'Payment Total'!$A$7:$A$336,0),6)-I199</f>
        <v>0</v>
      </c>
      <c r="P199" s="158">
        <f>INDEX('Budget by Source'!$A$6:$I$335,MATCH('Payment by Source'!$A199,'Budget by Source'!$A$6:$A$335,0),MATCH(P$3,'Budget by Source'!$A$5:$I$5,0))-(ROUND(INDEX('Budget by Source'!$A$6:$I$335,MATCH('Payment by Source'!$A199,'Budget by Source'!$A$6:$A$335,0),MATCH(P$3,'Budget by Source'!$A$5:$I$5,0))/10,0)*10)</f>
        <v>-3</v>
      </c>
      <c r="Q199" s="158">
        <f>INDEX('Budget by Source'!$A$6:$I$335,MATCH('Payment by Source'!$A199,'Budget by Source'!$A$6:$A$335,0),MATCH(Q$3,'Budget by Source'!$A$5:$I$5,0))-(ROUND(INDEX('Budget by Source'!$A$6:$I$335,MATCH('Payment by Source'!$A199,'Budget by Source'!$A$6:$A$335,0),MATCH(Q$3,'Budget by Source'!$A$5:$I$5,0))/10,0)*10)</f>
        <v>1</v>
      </c>
      <c r="R199" s="158">
        <f>INDEX('Budget by Source'!$A$6:$I$335,MATCH('Payment by Source'!$A199,'Budget by Source'!$A$6:$A$335,0),MATCH(R$3,'Budget by Source'!$A$5:$I$5,0))-(ROUND(INDEX('Budget by Source'!$A$6:$I$335,MATCH('Payment by Source'!$A199,'Budget by Source'!$A$6:$A$335,0),MATCH(R$3,'Budget by Source'!$A$5:$I$5,0))/10,0)*10)</f>
        <v>-2</v>
      </c>
      <c r="S199" s="158">
        <f>INDEX('Budget by Source'!$A$6:$I$335,MATCH('Payment by Source'!$A199,'Budget by Source'!$A$6:$A$335,0),MATCH(S$3,'Budget by Source'!$A$5:$I$5,0))-(ROUND(INDEX('Budget by Source'!$A$6:$I$335,MATCH('Payment by Source'!$A199,'Budget by Source'!$A$6:$A$335,0),MATCH(S$3,'Budget by Source'!$A$5:$I$5,0))/10,0)*10)</f>
        <v>1</v>
      </c>
      <c r="T199" s="158">
        <f>INDEX('Budget by Source'!$A$6:$I$335,MATCH('Payment by Source'!$A199,'Budget by Source'!$A$6:$A$335,0),MATCH(T$3,'Budget by Source'!$A$5:$I$5,0))-(ROUND(INDEX('Budget by Source'!$A$6:$I$335,MATCH('Payment by Source'!$A199,'Budget by Source'!$A$6:$A$335,0),MATCH(T$3,'Budget by Source'!$A$5:$I$5,0))/10,0)*10)</f>
        <v>-3</v>
      </c>
      <c r="U199" s="159">
        <f>INDEX('Budget by Source'!$A$6:$I$335,MATCH('Payment by Source'!$A199,'Budget by Source'!$A$6:$A$335,0),MATCH(U$3,'Budget by Source'!$A$5:$I$5,0))</f>
        <v>1785749</v>
      </c>
      <c r="V199" s="156">
        <f t="shared" ref="V199:V262" si="10">ROUND(U199/10,0)</f>
        <v>178575</v>
      </c>
      <c r="W199" s="156">
        <f t="shared" ref="W199:W262" si="11">V199*10</f>
        <v>1785750</v>
      </c>
    </row>
    <row r="200" spans="1:23" x14ac:dyDescent="0.2">
      <c r="A200" s="23" t="str">
        <f>Data!B196</f>
        <v>4505</v>
      </c>
      <c r="B200" s="21" t="str">
        <f>INDEX(Data[],MATCH($A200,Data[Dist],0),MATCH(B$5,Data[#Headers],0))</f>
        <v>Mormon Trail</v>
      </c>
      <c r="C200" s="22">
        <f>IF(Notes!$B$2="June",ROUND('Budget by Source'!C200/10,0)+P200,ROUND('Budget by Source'!C200/10,0))</f>
        <v>5028</v>
      </c>
      <c r="D200" s="22">
        <f>IF(Notes!$B$2="June",ROUND('Budget by Source'!D200/10,0)+Q200,ROUND('Budget by Source'!D200/10,0))</f>
        <v>15930</v>
      </c>
      <c r="E200" s="22">
        <f>IF(Notes!$B$2="June",ROUND('Budget by Source'!E200/10,0)+R200,ROUND('Budget by Source'!E200/10,0))</f>
        <v>1855</v>
      </c>
      <c r="F200" s="22">
        <f>IF(Notes!$B$2="June",ROUND('Budget by Source'!F200/10,0)+S200,ROUND('Budget by Source'!F200/10,0))</f>
        <v>1455</v>
      </c>
      <c r="G200" s="22">
        <f>IF(Notes!$B$2="June",ROUND('Budget by Source'!G200/10,0)+T200,ROUND('Budget by Source'!G200/10,0))</f>
        <v>8719</v>
      </c>
      <c r="H200" s="22">
        <f t="shared" si="9"/>
        <v>139007</v>
      </c>
      <c r="I200" s="22">
        <f>INDEX(Data[],MATCH($A200,Data[Dist],0),MATCH(I$5,Data[#Headers],0))</f>
        <v>171994</v>
      </c>
      <c r="K200" s="70">
        <f>INDEX('Payment Total'!$A$7:$H$336,MATCH('Payment by Source'!$A200,'Payment Total'!$A$7:$A$336,0),6)-I200</f>
        <v>0</v>
      </c>
      <c r="P200" s="158">
        <f>INDEX('Budget by Source'!$A$6:$I$335,MATCH('Payment by Source'!$A200,'Budget by Source'!$A$6:$A$335,0),MATCH(P$3,'Budget by Source'!$A$5:$I$5,0))-(ROUND(INDEX('Budget by Source'!$A$6:$I$335,MATCH('Payment by Source'!$A200,'Budget by Source'!$A$6:$A$335,0),MATCH(P$3,'Budget by Source'!$A$5:$I$5,0))/10,0)*10)</f>
        <v>1</v>
      </c>
      <c r="Q200" s="158">
        <f>INDEX('Budget by Source'!$A$6:$I$335,MATCH('Payment by Source'!$A200,'Budget by Source'!$A$6:$A$335,0),MATCH(Q$3,'Budget by Source'!$A$5:$I$5,0))-(ROUND(INDEX('Budget by Source'!$A$6:$I$335,MATCH('Payment by Source'!$A200,'Budget by Source'!$A$6:$A$335,0),MATCH(Q$3,'Budget by Source'!$A$5:$I$5,0))/10,0)*10)</f>
        <v>2</v>
      </c>
      <c r="R200" s="158">
        <f>INDEX('Budget by Source'!$A$6:$I$335,MATCH('Payment by Source'!$A200,'Budget by Source'!$A$6:$A$335,0),MATCH(R$3,'Budget by Source'!$A$5:$I$5,0))-(ROUND(INDEX('Budget by Source'!$A$6:$I$335,MATCH('Payment by Source'!$A200,'Budget by Source'!$A$6:$A$335,0),MATCH(R$3,'Budget by Source'!$A$5:$I$5,0))/10,0)*10)</f>
        <v>-3</v>
      </c>
      <c r="S200" s="158">
        <f>INDEX('Budget by Source'!$A$6:$I$335,MATCH('Payment by Source'!$A200,'Budget by Source'!$A$6:$A$335,0),MATCH(S$3,'Budget by Source'!$A$5:$I$5,0))-(ROUND(INDEX('Budget by Source'!$A$6:$I$335,MATCH('Payment by Source'!$A200,'Budget by Source'!$A$6:$A$335,0),MATCH(S$3,'Budget by Source'!$A$5:$I$5,0))/10,0)*10)</f>
        <v>-2</v>
      </c>
      <c r="T200" s="158">
        <f>INDEX('Budget by Source'!$A$6:$I$335,MATCH('Payment by Source'!$A200,'Budget by Source'!$A$6:$A$335,0),MATCH(T$3,'Budget by Source'!$A$5:$I$5,0))-(ROUND(INDEX('Budget by Source'!$A$6:$I$335,MATCH('Payment by Source'!$A200,'Budget by Source'!$A$6:$A$335,0),MATCH(T$3,'Budget by Source'!$A$5:$I$5,0))/10,0)*10)</f>
        <v>-2</v>
      </c>
      <c r="U200" s="159">
        <f>INDEX('Budget by Source'!$A$6:$I$335,MATCH('Payment by Source'!$A200,'Budget by Source'!$A$6:$A$335,0),MATCH(U$3,'Budget by Source'!$A$5:$I$5,0))</f>
        <v>1450882</v>
      </c>
      <c r="V200" s="156">
        <f t="shared" si="10"/>
        <v>145088</v>
      </c>
      <c r="W200" s="156">
        <f t="shared" si="11"/>
        <v>1450880</v>
      </c>
    </row>
    <row r="201" spans="1:23" x14ac:dyDescent="0.2">
      <c r="A201" s="23" t="str">
        <f>Data!B197</f>
        <v>4509</v>
      </c>
      <c r="B201" s="21" t="str">
        <f>INDEX(Data[],MATCH($A201,Data[Dist],0),MATCH(B$5,Data[#Headers],0))</f>
        <v>Morning Sun</v>
      </c>
      <c r="C201" s="22">
        <f>IF(Notes!$B$2="June",ROUND('Budget by Source'!C201/10,0)+P201,ROUND('Budget by Source'!C201/10,0))</f>
        <v>5701</v>
      </c>
      <c r="D201" s="22">
        <f>IF(Notes!$B$2="June",ROUND('Budget by Source'!D201/10,0)+Q201,ROUND('Budget by Source'!D201/10,0))</f>
        <v>12620</v>
      </c>
      <c r="E201" s="22">
        <f>IF(Notes!$B$2="June",ROUND('Budget by Source'!E201/10,0)+R201,ROUND('Budget by Source'!E201/10,0))</f>
        <v>1838</v>
      </c>
      <c r="F201" s="22">
        <f>IF(Notes!$B$2="June",ROUND('Budget by Source'!F201/10,0)+S201,ROUND('Budget by Source'!F201/10,0))</f>
        <v>1378</v>
      </c>
      <c r="G201" s="22">
        <f>IF(Notes!$B$2="June",ROUND('Budget by Source'!G201/10,0)+T201,ROUND('Budget by Source'!G201/10,0))</f>
        <v>6895</v>
      </c>
      <c r="H201" s="22">
        <f t="shared" si="9"/>
        <v>106953</v>
      </c>
      <c r="I201" s="22">
        <f>INDEX(Data[],MATCH($A201,Data[Dist],0),MATCH(I$5,Data[#Headers],0))</f>
        <v>135385</v>
      </c>
      <c r="K201" s="70">
        <f>INDEX('Payment Total'!$A$7:$H$336,MATCH('Payment by Source'!$A201,'Payment Total'!$A$7:$A$336,0),6)-I201</f>
        <v>0</v>
      </c>
      <c r="P201" s="158">
        <f>INDEX('Budget by Source'!$A$6:$I$335,MATCH('Payment by Source'!$A201,'Budget by Source'!$A$6:$A$335,0),MATCH(P$3,'Budget by Source'!$A$5:$I$5,0))-(ROUND(INDEX('Budget by Source'!$A$6:$I$335,MATCH('Payment by Source'!$A201,'Budget by Source'!$A$6:$A$335,0),MATCH(P$3,'Budget by Source'!$A$5:$I$5,0))/10,0)*10)</f>
        <v>4</v>
      </c>
      <c r="Q201" s="158">
        <f>INDEX('Budget by Source'!$A$6:$I$335,MATCH('Payment by Source'!$A201,'Budget by Source'!$A$6:$A$335,0),MATCH(Q$3,'Budget by Source'!$A$5:$I$5,0))-(ROUND(INDEX('Budget by Source'!$A$6:$I$335,MATCH('Payment by Source'!$A201,'Budget by Source'!$A$6:$A$335,0),MATCH(Q$3,'Budget by Source'!$A$5:$I$5,0))/10,0)*10)</f>
        <v>-5</v>
      </c>
      <c r="R201" s="158">
        <f>INDEX('Budget by Source'!$A$6:$I$335,MATCH('Payment by Source'!$A201,'Budget by Source'!$A$6:$A$335,0),MATCH(R$3,'Budget by Source'!$A$5:$I$5,0))-(ROUND(INDEX('Budget by Source'!$A$6:$I$335,MATCH('Payment by Source'!$A201,'Budget by Source'!$A$6:$A$335,0),MATCH(R$3,'Budget by Source'!$A$5:$I$5,0))/10,0)*10)</f>
        <v>-5</v>
      </c>
      <c r="S201" s="158">
        <f>INDEX('Budget by Source'!$A$6:$I$335,MATCH('Payment by Source'!$A201,'Budget by Source'!$A$6:$A$335,0),MATCH(S$3,'Budget by Source'!$A$5:$I$5,0))-(ROUND(INDEX('Budget by Source'!$A$6:$I$335,MATCH('Payment by Source'!$A201,'Budget by Source'!$A$6:$A$335,0),MATCH(S$3,'Budget by Source'!$A$5:$I$5,0))/10,0)*10)</f>
        <v>-3</v>
      </c>
      <c r="T201" s="158">
        <f>INDEX('Budget by Source'!$A$6:$I$335,MATCH('Payment by Source'!$A201,'Budget by Source'!$A$6:$A$335,0),MATCH(T$3,'Budget by Source'!$A$5:$I$5,0))-(ROUND(INDEX('Budget by Source'!$A$6:$I$335,MATCH('Payment by Source'!$A201,'Budget by Source'!$A$6:$A$335,0),MATCH(T$3,'Budget by Source'!$A$5:$I$5,0))/10,0)*10)</f>
        <v>-4</v>
      </c>
      <c r="U201" s="159">
        <f>INDEX('Budget by Source'!$A$6:$I$335,MATCH('Payment by Source'!$A201,'Budget by Source'!$A$6:$A$335,0),MATCH(U$3,'Budget by Source'!$A$5:$I$5,0))</f>
        <v>1072892</v>
      </c>
      <c r="V201" s="156">
        <f t="shared" si="10"/>
        <v>107289</v>
      </c>
      <c r="W201" s="156">
        <f t="shared" si="11"/>
        <v>1072890</v>
      </c>
    </row>
    <row r="202" spans="1:23" x14ac:dyDescent="0.2">
      <c r="A202" s="23" t="str">
        <f>Data!B198</f>
        <v>4518</v>
      </c>
      <c r="B202" s="21" t="str">
        <f>INDEX(Data[],MATCH($A202,Data[Dist],0),MATCH(B$5,Data[#Headers],0))</f>
        <v>Moulton-Udell</v>
      </c>
      <c r="C202" s="22">
        <f>IF(Notes!$B$2="June",ROUND('Budget by Source'!C202/10,0)+P202,ROUND('Budget by Source'!C202/10,0))</f>
        <v>3355</v>
      </c>
      <c r="D202" s="22">
        <f>IF(Notes!$B$2="June",ROUND('Budget by Source'!D202/10,0)+Q202,ROUND('Budget by Source'!D202/10,0))</f>
        <v>14290</v>
      </c>
      <c r="E202" s="22">
        <f>IF(Notes!$B$2="June",ROUND('Budget by Source'!E202/10,0)+R202,ROUND('Budget by Source'!E202/10,0))</f>
        <v>1651</v>
      </c>
      <c r="F202" s="22">
        <f>IF(Notes!$B$2="June",ROUND('Budget by Source'!F202/10,0)+S202,ROUND('Budget by Source'!F202/10,0))</f>
        <v>1468</v>
      </c>
      <c r="G202" s="22">
        <f>IF(Notes!$B$2="June",ROUND('Budget by Source'!G202/10,0)+T202,ROUND('Budget by Source'!G202/10,0))</f>
        <v>7191</v>
      </c>
      <c r="H202" s="22">
        <f t="shared" si="9"/>
        <v>113149</v>
      </c>
      <c r="I202" s="22">
        <f>INDEX(Data[],MATCH($A202,Data[Dist],0),MATCH(I$5,Data[#Headers],0))</f>
        <v>141104</v>
      </c>
      <c r="K202" s="70">
        <f>INDEX('Payment Total'!$A$7:$H$336,MATCH('Payment by Source'!$A202,'Payment Total'!$A$7:$A$336,0),6)-I202</f>
        <v>0</v>
      </c>
      <c r="P202" s="158">
        <f>INDEX('Budget by Source'!$A$6:$I$335,MATCH('Payment by Source'!$A202,'Budget by Source'!$A$6:$A$335,0),MATCH(P$3,'Budget by Source'!$A$5:$I$5,0))-(ROUND(INDEX('Budget by Source'!$A$6:$I$335,MATCH('Payment by Source'!$A202,'Budget by Source'!$A$6:$A$335,0),MATCH(P$3,'Budget by Source'!$A$5:$I$5,0))/10,0)*10)</f>
        <v>4</v>
      </c>
      <c r="Q202" s="158">
        <f>INDEX('Budget by Source'!$A$6:$I$335,MATCH('Payment by Source'!$A202,'Budget by Source'!$A$6:$A$335,0),MATCH(Q$3,'Budget by Source'!$A$5:$I$5,0))-(ROUND(INDEX('Budget by Source'!$A$6:$I$335,MATCH('Payment by Source'!$A202,'Budget by Source'!$A$6:$A$335,0),MATCH(Q$3,'Budget by Source'!$A$5:$I$5,0))/10,0)*10)</f>
        <v>-3</v>
      </c>
      <c r="R202" s="158">
        <f>INDEX('Budget by Source'!$A$6:$I$335,MATCH('Payment by Source'!$A202,'Budget by Source'!$A$6:$A$335,0),MATCH(R$3,'Budget by Source'!$A$5:$I$5,0))-(ROUND(INDEX('Budget by Source'!$A$6:$I$335,MATCH('Payment by Source'!$A202,'Budget by Source'!$A$6:$A$335,0),MATCH(R$3,'Budget by Source'!$A$5:$I$5,0))/10,0)*10)</f>
        <v>0</v>
      </c>
      <c r="S202" s="158">
        <f>INDEX('Budget by Source'!$A$6:$I$335,MATCH('Payment by Source'!$A202,'Budget by Source'!$A$6:$A$335,0),MATCH(S$3,'Budget by Source'!$A$5:$I$5,0))-(ROUND(INDEX('Budget by Source'!$A$6:$I$335,MATCH('Payment by Source'!$A202,'Budget by Source'!$A$6:$A$335,0),MATCH(S$3,'Budget by Source'!$A$5:$I$5,0))/10,0)*10)</f>
        <v>-1</v>
      </c>
      <c r="T202" s="158">
        <f>INDEX('Budget by Source'!$A$6:$I$335,MATCH('Payment by Source'!$A202,'Budget by Source'!$A$6:$A$335,0),MATCH(T$3,'Budget by Source'!$A$5:$I$5,0))-(ROUND(INDEX('Budget by Source'!$A$6:$I$335,MATCH('Payment by Source'!$A202,'Budget by Source'!$A$6:$A$335,0),MATCH(T$3,'Budget by Source'!$A$5:$I$5,0))/10,0)*10)</f>
        <v>-2</v>
      </c>
      <c r="U202" s="159">
        <f>INDEX('Budget by Source'!$A$6:$I$335,MATCH('Payment by Source'!$A202,'Budget by Source'!$A$6:$A$335,0),MATCH(U$3,'Budget by Source'!$A$5:$I$5,0))</f>
        <v>1134968</v>
      </c>
      <c r="V202" s="156">
        <f t="shared" si="10"/>
        <v>113497</v>
      </c>
      <c r="W202" s="156">
        <f t="shared" si="11"/>
        <v>1134970</v>
      </c>
    </row>
    <row r="203" spans="1:23" x14ac:dyDescent="0.2">
      <c r="A203" s="23" t="str">
        <f>Data!B199</f>
        <v>4527</v>
      </c>
      <c r="B203" s="21" t="str">
        <f>INDEX(Data[],MATCH($A203,Data[Dist],0),MATCH(B$5,Data[#Headers],0))</f>
        <v>Mount Ayr</v>
      </c>
      <c r="C203" s="22">
        <f>IF(Notes!$B$2="June",ROUND('Budget by Source'!C203/10,0)+P203,ROUND('Budget by Source'!C203/10,0))</f>
        <v>9384</v>
      </c>
      <c r="D203" s="22">
        <f>IF(Notes!$B$2="June",ROUND('Budget by Source'!D203/10,0)+Q203,ROUND('Budget by Source'!D203/10,0))</f>
        <v>41601</v>
      </c>
      <c r="E203" s="22">
        <f>IF(Notes!$B$2="June",ROUND('Budget by Source'!E203/10,0)+R203,ROUND('Budget by Source'!E203/10,0))</f>
        <v>4817</v>
      </c>
      <c r="F203" s="22">
        <f>IF(Notes!$B$2="June",ROUND('Budget by Source'!F203/10,0)+S203,ROUND('Budget by Source'!F203/10,0))</f>
        <v>5172</v>
      </c>
      <c r="G203" s="22">
        <f>IF(Notes!$B$2="June",ROUND('Budget by Source'!G203/10,0)+T203,ROUND('Budget by Source'!G203/10,0))</f>
        <v>20609</v>
      </c>
      <c r="H203" s="22">
        <f t="shared" si="9"/>
        <v>271639</v>
      </c>
      <c r="I203" s="22">
        <f>INDEX(Data[],MATCH($A203,Data[Dist],0),MATCH(I$5,Data[#Headers],0))</f>
        <v>353222</v>
      </c>
      <c r="K203" s="70">
        <f>INDEX('Payment Total'!$A$7:$H$336,MATCH('Payment by Source'!$A203,'Payment Total'!$A$7:$A$336,0),6)-I203</f>
        <v>0</v>
      </c>
      <c r="P203" s="158">
        <f>INDEX('Budget by Source'!$A$6:$I$335,MATCH('Payment by Source'!$A203,'Budget by Source'!$A$6:$A$335,0),MATCH(P$3,'Budget by Source'!$A$5:$I$5,0))-(ROUND(INDEX('Budget by Source'!$A$6:$I$335,MATCH('Payment by Source'!$A203,'Budget by Source'!$A$6:$A$335,0),MATCH(P$3,'Budget by Source'!$A$5:$I$5,0))/10,0)*10)</f>
        <v>0</v>
      </c>
      <c r="Q203" s="158">
        <f>INDEX('Budget by Source'!$A$6:$I$335,MATCH('Payment by Source'!$A203,'Budget by Source'!$A$6:$A$335,0),MATCH(Q$3,'Budget by Source'!$A$5:$I$5,0))-(ROUND(INDEX('Budget by Source'!$A$6:$I$335,MATCH('Payment by Source'!$A203,'Budget by Source'!$A$6:$A$335,0),MATCH(Q$3,'Budget by Source'!$A$5:$I$5,0))/10,0)*10)</f>
        <v>-4</v>
      </c>
      <c r="R203" s="158">
        <f>INDEX('Budget by Source'!$A$6:$I$335,MATCH('Payment by Source'!$A203,'Budget by Source'!$A$6:$A$335,0),MATCH(R$3,'Budget by Source'!$A$5:$I$5,0))-(ROUND(INDEX('Budget by Source'!$A$6:$I$335,MATCH('Payment by Source'!$A203,'Budget by Source'!$A$6:$A$335,0),MATCH(R$3,'Budget by Source'!$A$5:$I$5,0))/10,0)*10)</f>
        <v>4</v>
      </c>
      <c r="S203" s="158">
        <f>INDEX('Budget by Source'!$A$6:$I$335,MATCH('Payment by Source'!$A203,'Budget by Source'!$A$6:$A$335,0),MATCH(S$3,'Budget by Source'!$A$5:$I$5,0))-(ROUND(INDEX('Budget by Source'!$A$6:$I$335,MATCH('Payment by Source'!$A203,'Budget by Source'!$A$6:$A$335,0),MATCH(S$3,'Budget by Source'!$A$5:$I$5,0))/10,0)*10)</f>
        <v>-2</v>
      </c>
      <c r="T203" s="158">
        <f>INDEX('Budget by Source'!$A$6:$I$335,MATCH('Payment by Source'!$A203,'Budget by Source'!$A$6:$A$335,0),MATCH(T$3,'Budget by Source'!$A$5:$I$5,0))-(ROUND(INDEX('Budget by Source'!$A$6:$I$335,MATCH('Payment by Source'!$A203,'Budget by Source'!$A$6:$A$335,0),MATCH(T$3,'Budget by Source'!$A$5:$I$5,0))/10,0)*10)</f>
        <v>4</v>
      </c>
      <c r="U203" s="159">
        <f>INDEX('Budget by Source'!$A$6:$I$335,MATCH('Payment by Source'!$A203,'Budget by Source'!$A$6:$A$335,0),MATCH(U$3,'Budget by Source'!$A$5:$I$5,0))</f>
        <v>2726932</v>
      </c>
      <c r="V203" s="156">
        <f t="shared" si="10"/>
        <v>272693</v>
      </c>
      <c r="W203" s="156">
        <f t="shared" si="11"/>
        <v>2726930</v>
      </c>
    </row>
    <row r="204" spans="1:23" x14ac:dyDescent="0.2">
      <c r="A204" s="23" t="str">
        <f>Data!B200</f>
        <v>4536</v>
      </c>
      <c r="B204" s="21" t="str">
        <f>INDEX(Data[],MATCH($A204,Data[Dist],0),MATCH(B$5,Data[#Headers],0))</f>
        <v>Mount Pleasant</v>
      </c>
      <c r="C204" s="22">
        <f>IF(Notes!$B$2="June",ROUND('Budget by Source'!C204/10,0)+P204,ROUND('Budget by Source'!C204/10,0))</f>
        <v>27478</v>
      </c>
      <c r="D204" s="22">
        <f>IF(Notes!$B$2="June",ROUND('Budget by Source'!D204/10,0)+Q204,ROUND('Budget by Source'!D204/10,0))</f>
        <v>111259</v>
      </c>
      <c r="E204" s="22">
        <f>IF(Notes!$B$2="June",ROUND('Budget by Source'!E204/10,0)+R204,ROUND('Budget by Source'!E204/10,0))</f>
        <v>14832</v>
      </c>
      <c r="F204" s="22">
        <f>IF(Notes!$B$2="June",ROUND('Budget by Source'!F204/10,0)+S204,ROUND('Budget by Source'!F204/10,0))</f>
        <v>13289</v>
      </c>
      <c r="G204" s="22">
        <f>IF(Notes!$B$2="June",ROUND('Budget by Source'!G204/10,0)+T204,ROUND('Budget by Source'!G204/10,0))</f>
        <v>63688</v>
      </c>
      <c r="H204" s="22">
        <f t="shared" si="9"/>
        <v>983834</v>
      </c>
      <c r="I204" s="22">
        <f>INDEX(Data[],MATCH($A204,Data[Dist],0),MATCH(I$5,Data[#Headers],0))</f>
        <v>1214380</v>
      </c>
      <c r="K204" s="70">
        <f>INDEX('Payment Total'!$A$7:$H$336,MATCH('Payment by Source'!$A204,'Payment Total'!$A$7:$A$336,0),6)-I204</f>
        <v>0</v>
      </c>
      <c r="P204" s="158">
        <f>INDEX('Budget by Source'!$A$6:$I$335,MATCH('Payment by Source'!$A204,'Budget by Source'!$A$6:$A$335,0),MATCH(P$3,'Budget by Source'!$A$5:$I$5,0))-(ROUND(INDEX('Budget by Source'!$A$6:$I$335,MATCH('Payment by Source'!$A204,'Budget by Source'!$A$6:$A$335,0),MATCH(P$3,'Budget by Source'!$A$5:$I$5,0))/10,0)*10)</f>
        <v>-4</v>
      </c>
      <c r="Q204" s="158">
        <f>INDEX('Budget by Source'!$A$6:$I$335,MATCH('Payment by Source'!$A204,'Budget by Source'!$A$6:$A$335,0),MATCH(Q$3,'Budget by Source'!$A$5:$I$5,0))-(ROUND(INDEX('Budget by Source'!$A$6:$I$335,MATCH('Payment by Source'!$A204,'Budget by Source'!$A$6:$A$335,0),MATCH(Q$3,'Budget by Source'!$A$5:$I$5,0))/10,0)*10)</f>
        <v>2</v>
      </c>
      <c r="R204" s="158">
        <f>INDEX('Budget by Source'!$A$6:$I$335,MATCH('Payment by Source'!$A204,'Budget by Source'!$A$6:$A$335,0),MATCH(R$3,'Budget by Source'!$A$5:$I$5,0))-(ROUND(INDEX('Budget by Source'!$A$6:$I$335,MATCH('Payment by Source'!$A204,'Budget by Source'!$A$6:$A$335,0),MATCH(R$3,'Budget by Source'!$A$5:$I$5,0))/10,0)*10)</f>
        <v>-4</v>
      </c>
      <c r="S204" s="158">
        <f>INDEX('Budget by Source'!$A$6:$I$335,MATCH('Payment by Source'!$A204,'Budget by Source'!$A$6:$A$335,0),MATCH(S$3,'Budget by Source'!$A$5:$I$5,0))-(ROUND(INDEX('Budget by Source'!$A$6:$I$335,MATCH('Payment by Source'!$A204,'Budget by Source'!$A$6:$A$335,0),MATCH(S$3,'Budget by Source'!$A$5:$I$5,0))/10,0)*10)</f>
        <v>0</v>
      </c>
      <c r="T204" s="158">
        <f>INDEX('Budget by Source'!$A$6:$I$335,MATCH('Payment by Source'!$A204,'Budget by Source'!$A$6:$A$335,0),MATCH(T$3,'Budget by Source'!$A$5:$I$5,0))-(ROUND(INDEX('Budget by Source'!$A$6:$I$335,MATCH('Payment by Source'!$A204,'Budget by Source'!$A$6:$A$335,0),MATCH(T$3,'Budget by Source'!$A$5:$I$5,0))/10,0)*10)</f>
        <v>-3</v>
      </c>
      <c r="U204" s="159">
        <f>INDEX('Budget by Source'!$A$6:$I$335,MATCH('Payment by Source'!$A204,'Budget by Source'!$A$6:$A$335,0),MATCH(U$3,'Budget by Source'!$A$5:$I$5,0))</f>
        <v>9870467</v>
      </c>
      <c r="V204" s="156">
        <f t="shared" si="10"/>
        <v>987047</v>
      </c>
      <c r="W204" s="156">
        <f t="shared" si="11"/>
        <v>9870470</v>
      </c>
    </row>
    <row r="205" spans="1:23" x14ac:dyDescent="0.2">
      <c r="A205" s="23" t="str">
        <f>Data!B201</f>
        <v>4554</v>
      </c>
      <c r="B205" s="21" t="str">
        <f>INDEX(Data[],MATCH($A205,Data[Dist],0),MATCH(B$5,Data[#Headers],0))</f>
        <v>Mount Vernon</v>
      </c>
      <c r="C205" s="22">
        <f>IF(Notes!$B$2="June",ROUND('Budget by Source'!C205/10,0)+P205,ROUND('Budget by Source'!C205/10,0))</f>
        <v>22450</v>
      </c>
      <c r="D205" s="22">
        <f>IF(Notes!$B$2="June",ROUND('Budget by Source'!D205/10,0)+Q205,ROUND('Budget by Source'!D205/10,0))</f>
        <v>65852</v>
      </c>
      <c r="E205" s="22">
        <f>IF(Notes!$B$2="June",ROUND('Budget by Source'!E205/10,0)+R205,ROUND('Budget by Source'!E205/10,0))</f>
        <v>8080</v>
      </c>
      <c r="F205" s="22">
        <f>IF(Notes!$B$2="June",ROUND('Budget by Source'!F205/10,0)+S205,ROUND('Budget by Source'!F205/10,0))</f>
        <v>7433</v>
      </c>
      <c r="G205" s="22">
        <f>IF(Notes!$B$2="June",ROUND('Budget by Source'!G205/10,0)+T205,ROUND('Budget by Source'!G205/10,0))</f>
        <v>36695</v>
      </c>
      <c r="H205" s="22">
        <f t="shared" si="9"/>
        <v>530894</v>
      </c>
      <c r="I205" s="22">
        <f>INDEX(Data[],MATCH($A205,Data[Dist],0),MATCH(I$5,Data[#Headers],0))</f>
        <v>671404</v>
      </c>
      <c r="K205" s="70">
        <f>INDEX('Payment Total'!$A$7:$H$336,MATCH('Payment by Source'!$A205,'Payment Total'!$A$7:$A$336,0),6)-I205</f>
        <v>0</v>
      </c>
      <c r="P205" s="158">
        <f>INDEX('Budget by Source'!$A$6:$I$335,MATCH('Payment by Source'!$A205,'Budget by Source'!$A$6:$A$335,0),MATCH(P$3,'Budget by Source'!$A$5:$I$5,0))-(ROUND(INDEX('Budget by Source'!$A$6:$I$335,MATCH('Payment by Source'!$A205,'Budget by Source'!$A$6:$A$335,0),MATCH(P$3,'Budget by Source'!$A$5:$I$5,0))/10,0)*10)</f>
        <v>-5</v>
      </c>
      <c r="Q205" s="158">
        <f>INDEX('Budget by Source'!$A$6:$I$335,MATCH('Payment by Source'!$A205,'Budget by Source'!$A$6:$A$335,0),MATCH(Q$3,'Budget by Source'!$A$5:$I$5,0))-(ROUND(INDEX('Budget by Source'!$A$6:$I$335,MATCH('Payment by Source'!$A205,'Budget by Source'!$A$6:$A$335,0),MATCH(Q$3,'Budget by Source'!$A$5:$I$5,0))/10,0)*10)</f>
        <v>-1</v>
      </c>
      <c r="R205" s="158">
        <f>INDEX('Budget by Source'!$A$6:$I$335,MATCH('Payment by Source'!$A205,'Budget by Source'!$A$6:$A$335,0),MATCH(R$3,'Budget by Source'!$A$5:$I$5,0))-(ROUND(INDEX('Budget by Source'!$A$6:$I$335,MATCH('Payment by Source'!$A205,'Budget by Source'!$A$6:$A$335,0),MATCH(R$3,'Budget by Source'!$A$5:$I$5,0))/10,0)*10)</f>
        <v>-3</v>
      </c>
      <c r="S205" s="158">
        <f>INDEX('Budget by Source'!$A$6:$I$335,MATCH('Payment by Source'!$A205,'Budget by Source'!$A$6:$A$335,0),MATCH(S$3,'Budget by Source'!$A$5:$I$5,0))-(ROUND(INDEX('Budget by Source'!$A$6:$I$335,MATCH('Payment by Source'!$A205,'Budget by Source'!$A$6:$A$335,0),MATCH(S$3,'Budget by Source'!$A$5:$I$5,0))/10,0)*10)</f>
        <v>-5</v>
      </c>
      <c r="T205" s="158">
        <f>INDEX('Budget by Source'!$A$6:$I$335,MATCH('Payment by Source'!$A205,'Budget by Source'!$A$6:$A$335,0),MATCH(T$3,'Budget by Source'!$A$5:$I$5,0))-(ROUND(INDEX('Budget by Source'!$A$6:$I$335,MATCH('Payment by Source'!$A205,'Budget by Source'!$A$6:$A$335,0),MATCH(T$3,'Budget by Source'!$A$5:$I$5,0))/10,0)*10)</f>
        <v>-4</v>
      </c>
      <c r="U205" s="159">
        <f>INDEX('Budget by Source'!$A$6:$I$335,MATCH('Payment by Source'!$A205,'Budget by Source'!$A$6:$A$335,0),MATCH(U$3,'Budget by Source'!$A$5:$I$5,0))</f>
        <v>5327491</v>
      </c>
      <c r="V205" s="156">
        <f t="shared" si="10"/>
        <v>532749</v>
      </c>
      <c r="W205" s="156">
        <f t="shared" si="11"/>
        <v>5327490</v>
      </c>
    </row>
    <row r="206" spans="1:23" x14ac:dyDescent="0.2">
      <c r="A206" s="23" t="str">
        <f>Data!B202</f>
        <v>4572</v>
      </c>
      <c r="B206" s="21" t="str">
        <f>INDEX(Data[],MATCH($A206,Data[Dist],0),MATCH(B$5,Data[#Headers],0))</f>
        <v>Murray</v>
      </c>
      <c r="C206" s="22">
        <f>IF(Notes!$B$2="June",ROUND('Budget by Source'!C206/10,0)+P206,ROUND('Budget by Source'!C206/10,0))</f>
        <v>5701</v>
      </c>
      <c r="D206" s="22">
        <f>IF(Notes!$B$2="June",ROUND('Budget by Source'!D206/10,0)+Q206,ROUND('Budget by Source'!D206/10,0))</f>
        <v>17972</v>
      </c>
      <c r="E206" s="22">
        <f>IF(Notes!$B$2="June",ROUND('Budget by Source'!E206/10,0)+R206,ROUND('Budget by Source'!E206/10,0))</f>
        <v>2198</v>
      </c>
      <c r="F206" s="22">
        <f>IF(Notes!$B$2="June",ROUND('Budget by Source'!F206/10,0)+S206,ROUND('Budget by Source'!F206/10,0))</f>
        <v>1789</v>
      </c>
      <c r="G206" s="22">
        <f>IF(Notes!$B$2="June",ROUND('Budget by Source'!G206/10,0)+T206,ROUND('Budget by Source'!G206/10,0))</f>
        <v>8550</v>
      </c>
      <c r="H206" s="22">
        <f t="shared" si="9"/>
        <v>127038</v>
      </c>
      <c r="I206" s="22">
        <f>INDEX(Data[],MATCH($A206,Data[Dist],0),MATCH(I$5,Data[#Headers],0))</f>
        <v>163248</v>
      </c>
      <c r="K206" s="70">
        <f>INDEX('Payment Total'!$A$7:$H$336,MATCH('Payment by Source'!$A206,'Payment Total'!$A$7:$A$336,0),6)-I206</f>
        <v>0</v>
      </c>
      <c r="P206" s="158">
        <f>INDEX('Budget by Source'!$A$6:$I$335,MATCH('Payment by Source'!$A206,'Budget by Source'!$A$6:$A$335,0),MATCH(P$3,'Budget by Source'!$A$5:$I$5,0))-(ROUND(INDEX('Budget by Source'!$A$6:$I$335,MATCH('Payment by Source'!$A206,'Budget by Source'!$A$6:$A$335,0),MATCH(P$3,'Budget by Source'!$A$5:$I$5,0))/10,0)*10)</f>
        <v>4</v>
      </c>
      <c r="Q206" s="158">
        <f>INDEX('Budget by Source'!$A$6:$I$335,MATCH('Payment by Source'!$A206,'Budget by Source'!$A$6:$A$335,0),MATCH(Q$3,'Budget by Source'!$A$5:$I$5,0))-(ROUND(INDEX('Budget by Source'!$A$6:$I$335,MATCH('Payment by Source'!$A206,'Budget by Source'!$A$6:$A$335,0),MATCH(Q$3,'Budget by Source'!$A$5:$I$5,0))/10,0)*10)</f>
        <v>4</v>
      </c>
      <c r="R206" s="158">
        <f>INDEX('Budget by Source'!$A$6:$I$335,MATCH('Payment by Source'!$A206,'Budget by Source'!$A$6:$A$335,0),MATCH(R$3,'Budget by Source'!$A$5:$I$5,0))-(ROUND(INDEX('Budget by Source'!$A$6:$I$335,MATCH('Payment by Source'!$A206,'Budget by Source'!$A$6:$A$335,0),MATCH(R$3,'Budget by Source'!$A$5:$I$5,0))/10,0)*10)</f>
        <v>3</v>
      </c>
      <c r="S206" s="158">
        <f>INDEX('Budget by Source'!$A$6:$I$335,MATCH('Payment by Source'!$A206,'Budget by Source'!$A$6:$A$335,0),MATCH(S$3,'Budget by Source'!$A$5:$I$5,0))-(ROUND(INDEX('Budget by Source'!$A$6:$I$335,MATCH('Payment by Source'!$A206,'Budget by Source'!$A$6:$A$335,0),MATCH(S$3,'Budget by Source'!$A$5:$I$5,0))/10,0)*10)</f>
        <v>-2</v>
      </c>
      <c r="T206" s="158">
        <f>INDEX('Budget by Source'!$A$6:$I$335,MATCH('Payment by Source'!$A206,'Budget by Source'!$A$6:$A$335,0),MATCH(T$3,'Budget by Source'!$A$5:$I$5,0))-(ROUND(INDEX('Budget by Source'!$A$6:$I$335,MATCH('Payment by Source'!$A206,'Budget by Source'!$A$6:$A$335,0),MATCH(T$3,'Budget by Source'!$A$5:$I$5,0))/10,0)*10)</f>
        <v>3</v>
      </c>
      <c r="U206" s="159">
        <f>INDEX('Budget by Source'!$A$6:$I$335,MATCH('Payment by Source'!$A206,'Budget by Source'!$A$6:$A$335,0),MATCH(U$3,'Budget by Source'!$A$5:$I$5,0))</f>
        <v>1275108</v>
      </c>
      <c r="V206" s="156">
        <f t="shared" si="10"/>
        <v>127511</v>
      </c>
      <c r="W206" s="156">
        <f t="shared" si="11"/>
        <v>1275110</v>
      </c>
    </row>
    <row r="207" spans="1:23" x14ac:dyDescent="0.2">
      <c r="A207" s="23" t="str">
        <f>Data!B203</f>
        <v>4581</v>
      </c>
      <c r="B207" s="21" t="str">
        <f>INDEX(Data[],MATCH($A207,Data[Dist],0),MATCH(B$5,Data[#Headers],0))</f>
        <v>Muscatine</v>
      </c>
      <c r="C207" s="22">
        <f>IF(Notes!$B$2="June",ROUND('Budget by Source'!C207/10,0)+P207,ROUND('Budget by Source'!C207/10,0))</f>
        <v>88481</v>
      </c>
      <c r="D207" s="22">
        <f>IF(Notes!$B$2="June",ROUND('Budget by Source'!D207/10,0)+Q207,ROUND('Budget by Source'!D207/10,0))</f>
        <v>285665</v>
      </c>
      <c r="E207" s="22">
        <f>IF(Notes!$B$2="June",ROUND('Budget by Source'!E207/10,0)+R207,ROUND('Budget by Source'!E207/10,0))</f>
        <v>38322</v>
      </c>
      <c r="F207" s="22">
        <f>IF(Notes!$B$2="June",ROUND('Budget by Source'!F207/10,0)+S207,ROUND('Budget by Source'!F207/10,0))</f>
        <v>31211</v>
      </c>
      <c r="G207" s="22">
        <f>IF(Notes!$B$2="June",ROUND('Budget by Source'!G207/10,0)+T207,ROUND('Budget by Source'!G207/10,0))</f>
        <v>164356</v>
      </c>
      <c r="H207" s="22">
        <f t="shared" si="9"/>
        <v>2655219</v>
      </c>
      <c r="I207" s="22">
        <f>INDEX(Data[],MATCH($A207,Data[Dist],0),MATCH(I$5,Data[#Headers],0))</f>
        <v>3263254</v>
      </c>
      <c r="K207" s="70">
        <f>INDEX('Payment Total'!$A$7:$H$336,MATCH('Payment by Source'!$A207,'Payment Total'!$A$7:$A$336,0),6)-I207</f>
        <v>0</v>
      </c>
      <c r="P207" s="158">
        <f>INDEX('Budget by Source'!$A$6:$I$335,MATCH('Payment by Source'!$A207,'Budget by Source'!$A$6:$A$335,0),MATCH(P$3,'Budget by Source'!$A$5:$I$5,0))-(ROUND(INDEX('Budget by Source'!$A$6:$I$335,MATCH('Payment by Source'!$A207,'Budget by Source'!$A$6:$A$335,0),MATCH(P$3,'Budget by Source'!$A$5:$I$5,0))/10,0)*10)</f>
        <v>4</v>
      </c>
      <c r="Q207" s="158">
        <f>INDEX('Budget by Source'!$A$6:$I$335,MATCH('Payment by Source'!$A207,'Budget by Source'!$A$6:$A$335,0),MATCH(Q$3,'Budget by Source'!$A$5:$I$5,0))-(ROUND(INDEX('Budget by Source'!$A$6:$I$335,MATCH('Payment by Source'!$A207,'Budget by Source'!$A$6:$A$335,0),MATCH(Q$3,'Budget by Source'!$A$5:$I$5,0))/10,0)*10)</f>
        <v>-1</v>
      </c>
      <c r="R207" s="158">
        <f>INDEX('Budget by Source'!$A$6:$I$335,MATCH('Payment by Source'!$A207,'Budget by Source'!$A$6:$A$335,0),MATCH(R$3,'Budget by Source'!$A$5:$I$5,0))-(ROUND(INDEX('Budget by Source'!$A$6:$I$335,MATCH('Payment by Source'!$A207,'Budget by Source'!$A$6:$A$335,0),MATCH(R$3,'Budget by Source'!$A$5:$I$5,0))/10,0)*10)</f>
        <v>-3</v>
      </c>
      <c r="S207" s="158">
        <f>INDEX('Budget by Source'!$A$6:$I$335,MATCH('Payment by Source'!$A207,'Budget by Source'!$A$6:$A$335,0),MATCH(S$3,'Budget by Source'!$A$5:$I$5,0))-(ROUND(INDEX('Budget by Source'!$A$6:$I$335,MATCH('Payment by Source'!$A207,'Budget by Source'!$A$6:$A$335,0),MATCH(S$3,'Budget by Source'!$A$5:$I$5,0))/10,0)*10)</f>
        <v>-1</v>
      </c>
      <c r="T207" s="158">
        <f>INDEX('Budget by Source'!$A$6:$I$335,MATCH('Payment by Source'!$A207,'Budget by Source'!$A$6:$A$335,0),MATCH(T$3,'Budget by Source'!$A$5:$I$5,0))-(ROUND(INDEX('Budget by Source'!$A$6:$I$335,MATCH('Payment by Source'!$A207,'Budget by Source'!$A$6:$A$335,0),MATCH(T$3,'Budget by Source'!$A$5:$I$5,0))/10,0)*10)</f>
        <v>-1</v>
      </c>
      <c r="U207" s="159">
        <f>INDEX('Budget by Source'!$A$6:$I$335,MATCH('Payment by Source'!$A207,'Budget by Source'!$A$6:$A$335,0),MATCH(U$3,'Budget by Source'!$A$5:$I$5,0))</f>
        <v>26768156</v>
      </c>
      <c r="V207" s="156">
        <f t="shared" si="10"/>
        <v>2676816</v>
      </c>
      <c r="W207" s="156">
        <f t="shared" si="11"/>
        <v>26768160</v>
      </c>
    </row>
    <row r="208" spans="1:23" x14ac:dyDescent="0.2">
      <c r="A208" s="23" t="str">
        <f>Data!B204</f>
        <v>4599</v>
      </c>
      <c r="B208" s="21" t="str">
        <f>INDEX(Data[],MATCH($A208,Data[Dist],0),MATCH(B$5,Data[#Headers],0))</f>
        <v>Nashua-Plainfield</v>
      </c>
      <c r="C208" s="22">
        <f>IF(Notes!$B$2="June",ROUND('Budget by Source'!C208/10,0)+P208,ROUND('Budget by Source'!C208/10,0))</f>
        <v>14075</v>
      </c>
      <c r="D208" s="22">
        <f>IF(Notes!$B$2="June",ROUND('Budget by Source'!D208/10,0)+Q208,ROUND('Budget by Source'!D208/10,0))</f>
        <v>34990</v>
      </c>
      <c r="E208" s="22">
        <f>IF(Notes!$B$2="June",ROUND('Budget by Source'!E208/10,0)+R208,ROUND('Budget by Source'!E208/10,0))</f>
        <v>3483</v>
      </c>
      <c r="F208" s="22">
        <f>IF(Notes!$B$2="June",ROUND('Budget by Source'!F208/10,0)+S208,ROUND('Budget by Source'!F208/10,0))</f>
        <v>3973</v>
      </c>
      <c r="G208" s="22">
        <f>IF(Notes!$B$2="June",ROUND('Budget by Source'!G208/10,0)+T208,ROUND('Budget by Source'!G208/10,0))</f>
        <v>20153</v>
      </c>
      <c r="H208" s="22">
        <f t="shared" si="9"/>
        <v>277009</v>
      </c>
      <c r="I208" s="22">
        <f>INDEX(Data[],MATCH($A208,Data[Dist],0),MATCH(I$5,Data[#Headers],0))</f>
        <v>353683</v>
      </c>
      <c r="K208" s="70">
        <f>INDEX('Payment Total'!$A$7:$H$336,MATCH('Payment by Source'!$A208,'Payment Total'!$A$7:$A$336,0),6)-I208</f>
        <v>0</v>
      </c>
      <c r="P208" s="158">
        <f>INDEX('Budget by Source'!$A$6:$I$335,MATCH('Payment by Source'!$A208,'Budget by Source'!$A$6:$A$335,0),MATCH(P$3,'Budget by Source'!$A$5:$I$5,0))-(ROUND(INDEX('Budget by Source'!$A$6:$I$335,MATCH('Payment by Source'!$A208,'Budget by Source'!$A$6:$A$335,0),MATCH(P$3,'Budget by Source'!$A$5:$I$5,0))/10,0)*10)</f>
        <v>-1</v>
      </c>
      <c r="Q208" s="158">
        <f>INDEX('Budget by Source'!$A$6:$I$335,MATCH('Payment by Source'!$A208,'Budget by Source'!$A$6:$A$335,0),MATCH(Q$3,'Budget by Source'!$A$5:$I$5,0))-(ROUND(INDEX('Budget by Source'!$A$6:$I$335,MATCH('Payment by Source'!$A208,'Budget by Source'!$A$6:$A$335,0),MATCH(Q$3,'Budget by Source'!$A$5:$I$5,0))/10,0)*10)</f>
        <v>-3</v>
      </c>
      <c r="R208" s="158">
        <f>INDEX('Budget by Source'!$A$6:$I$335,MATCH('Payment by Source'!$A208,'Budget by Source'!$A$6:$A$335,0),MATCH(R$3,'Budget by Source'!$A$5:$I$5,0))-(ROUND(INDEX('Budget by Source'!$A$6:$I$335,MATCH('Payment by Source'!$A208,'Budget by Source'!$A$6:$A$335,0),MATCH(R$3,'Budget by Source'!$A$5:$I$5,0))/10,0)*10)</f>
        <v>0</v>
      </c>
      <c r="S208" s="158">
        <f>INDEX('Budget by Source'!$A$6:$I$335,MATCH('Payment by Source'!$A208,'Budget by Source'!$A$6:$A$335,0),MATCH(S$3,'Budget by Source'!$A$5:$I$5,0))-(ROUND(INDEX('Budget by Source'!$A$6:$I$335,MATCH('Payment by Source'!$A208,'Budget by Source'!$A$6:$A$335,0),MATCH(S$3,'Budget by Source'!$A$5:$I$5,0))/10,0)*10)</f>
        <v>-2</v>
      </c>
      <c r="T208" s="158">
        <f>INDEX('Budget by Source'!$A$6:$I$335,MATCH('Payment by Source'!$A208,'Budget by Source'!$A$6:$A$335,0),MATCH(T$3,'Budget by Source'!$A$5:$I$5,0))-(ROUND(INDEX('Budget by Source'!$A$6:$I$335,MATCH('Payment by Source'!$A208,'Budget by Source'!$A$6:$A$335,0),MATCH(T$3,'Budget by Source'!$A$5:$I$5,0))/10,0)*10)</f>
        <v>4</v>
      </c>
      <c r="U208" s="159">
        <f>INDEX('Budget by Source'!$A$6:$I$335,MATCH('Payment by Source'!$A208,'Budget by Source'!$A$6:$A$335,0),MATCH(U$3,'Budget by Source'!$A$5:$I$5,0))</f>
        <v>2780269</v>
      </c>
      <c r="V208" s="156">
        <f t="shared" si="10"/>
        <v>278027</v>
      </c>
      <c r="W208" s="156">
        <f t="shared" si="11"/>
        <v>2780270</v>
      </c>
    </row>
    <row r="209" spans="1:23" x14ac:dyDescent="0.2">
      <c r="A209" s="23" t="str">
        <f>Data!B205</f>
        <v>4617</v>
      </c>
      <c r="B209" s="21" t="str">
        <f>INDEX(Data[],MATCH($A209,Data[Dist],0),MATCH(B$5,Data[#Headers],0))</f>
        <v>Nevada</v>
      </c>
      <c r="C209" s="22">
        <f>IF(Notes!$B$2="June",ROUND('Budget by Source'!C209/10,0)+P209,ROUND('Budget by Source'!C209/10,0))</f>
        <v>27814</v>
      </c>
      <c r="D209" s="22">
        <f>IF(Notes!$B$2="June",ROUND('Budget by Source'!D209/10,0)+Q209,ROUND('Budget by Source'!D209/10,0))</f>
        <v>88416</v>
      </c>
      <c r="E209" s="22">
        <f>IF(Notes!$B$2="June",ROUND('Budget by Source'!E209/10,0)+R209,ROUND('Budget by Source'!E209/10,0))</f>
        <v>12049</v>
      </c>
      <c r="F209" s="22">
        <f>IF(Notes!$B$2="June",ROUND('Budget by Source'!F209/10,0)+S209,ROUND('Budget by Source'!F209/10,0))</f>
        <v>10725</v>
      </c>
      <c r="G209" s="22">
        <f>IF(Notes!$B$2="June",ROUND('Budget by Source'!G209/10,0)+T209,ROUND('Budget by Source'!G209/10,0))</f>
        <v>50049</v>
      </c>
      <c r="H209" s="22">
        <f t="shared" si="9"/>
        <v>769403</v>
      </c>
      <c r="I209" s="22">
        <f>INDEX(Data[],MATCH($A209,Data[Dist],0),MATCH(I$5,Data[#Headers],0))</f>
        <v>958456</v>
      </c>
      <c r="K209" s="70">
        <f>INDEX('Payment Total'!$A$7:$H$336,MATCH('Payment by Source'!$A209,'Payment Total'!$A$7:$A$336,0),6)-I209</f>
        <v>0</v>
      </c>
      <c r="P209" s="158">
        <f>INDEX('Budget by Source'!$A$6:$I$335,MATCH('Payment by Source'!$A209,'Budget by Source'!$A$6:$A$335,0),MATCH(P$3,'Budget by Source'!$A$5:$I$5,0))-(ROUND(INDEX('Budget by Source'!$A$6:$I$335,MATCH('Payment by Source'!$A209,'Budget by Source'!$A$6:$A$335,0),MATCH(P$3,'Budget by Source'!$A$5:$I$5,0))/10,0)*10)</f>
        <v>-3</v>
      </c>
      <c r="Q209" s="158">
        <f>INDEX('Budget by Source'!$A$6:$I$335,MATCH('Payment by Source'!$A209,'Budget by Source'!$A$6:$A$335,0),MATCH(Q$3,'Budget by Source'!$A$5:$I$5,0))-(ROUND(INDEX('Budget by Source'!$A$6:$I$335,MATCH('Payment by Source'!$A209,'Budget by Source'!$A$6:$A$335,0),MATCH(Q$3,'Budget by Source'!$A$5:$I$5,0))/10,0)*10)</f>
        <v>1</v>
      </c>
      <c r="R209" s="158">
        <f>INDEX('Budget by Source'!$A$6:$I$335,MATCH('Payment by Source'!$A209,'Budget by Source'!$A$6:$A$335,0),MATCH(R$3,'Budget by Source'!$A$5:$I$5,0))-(ROUND(INDEX('Budget by Source'!$A$6:$I$335,MATCH('Payment by Source'!$A209,'Budget by Source'!$A$6:$A$335,0),MATCH(R$3,'Budget by Source'!$A$5:$I$5,0))/10,0)*10)</f>
        <v>-5</v>
      </c>
      <c r="S209" s="158">
        <f>INDEX('Budget by Source'!$A$6:$I$335,MATCH('Payment by Source'!$A209,'Budget by Source'!$A$6:$A$335,0),MATCH(S$3,'Budget by Source'!$A$5:$I$5,0))-(ROUND(INDEX('Budget by Source'!$A$6:$I$335,MATCH('Payment by Source'!$A209,'Budget by Source'!$A$6:$A$335,0),MATCH(S$3,'Budget by Source'!$A$5:$I$5,0))/10,0)*10)</f>
        <v>-2</v>
      </c>
      <c r="T209" s="158">
        <f>INDEX('Budget by Source'!$A$6:$I$335,MATCH('Payment by Source'!$A209,'Budget by Source'!$A$6:$A$335,0),MATCH(T$3,'Budget by Source'!$A$5:$I$5,0))-(ROUND(INDEX('Budget by Source'!$A$6:$I$335,MATCH('Payment by Source'!$A209,'Budget by Source'!$A$6:$A$335,0),MATCH(T$3,'Budget by Source'!$A$5:$I$5,0))/10,0)*10)</f>
        <v>4</v>
      </c>
      <c r="U209" s="159">
        <f>INDEX('Budget by Source'!$A$6:$I$335,MATCH('Payment by Source'!$A209,'Budget by Source'!$A$6:$A$335,0),MATCH(U$3,'Budget by Source'!$A$5:$I$5,0))</f>
        <v>7777835</v>
      </c>
      <c r="V209" s="156">
        <f t="shared" si="10"/>
        <v>777784</v>
      </c>
      <c r="W209" s="156">
        <f t="shared" si="11"/>
        <v>7777840</v>
      </c>
    </row>
    <row r="210" spans="1:23" x14ac:dyDescent="0.2">
      <c r="A210" s="23" t="str">
        <f>Data!B206</f>
        <v>4644</v>
      </c>
      <c r="B210" s="21" t="str">
        <f>INDEX(Data[],MATCH($A210,Data[Dist],0),MATCH(B$5,Data[#Headers],0))</f>
        <v>Newell-Fonda</v>
      </c>
      <c r="C210" s="22">
        <f>IF(Notes!$B$2="June",ROUND('Budget by Source'!C210/10,0)+P210,ROUND('Budget by Source'!C210/10,0))</f>
        <v>12402</v>
      </c>
      <c r="D210" s="22">
        <f>IF(Notes!$B$2="June",ROUND('Budget by Source'!D210/10,0)+Q210,ROUND('Budget by Source'!D210/10,0))</f>
        <v>27515</v>
      </c>
      <c r="E210" s="22">
        <f>IF(Notes!$B$2="June",ROUND('Budget by Source'!E210/10,0)+R210,ROUND('Budget by Source'!E210/10,0))</f>
        <v>3535</v>
      </c>
      <c r="F210" s="22">
        <f>IF(Notes!$B$2="June",ROUND('Budget by Source'!F210/10,0)+S210,ROUND('Budget by Source'!F210/10,0))</f>
        <v>2941</v>
      </c>
      <c r="G210" s="22">
        <f>IF(Notes!$B$2="June",ROUND('Budget by Source'!G210/10,0)+T210,ROUND('Budget by Source'!G210/10,0))</f>
        <v>15216</v>
      </c>
      <c r="H210" s="22">
        <f t="shared" si="9"/>
        <v>164948</v>
      </c>
      <c r="I210" s="22">
        <f>INDEX(Data[],MATCH($A210,Data[Dist],0),MATCH(I$5,Data[#Headers],0))</f>
        <v>226557</v>
      </c>
      <c r="K210" s="70">
        <f>INDEX('Payment Total'!$A$7:$H$336,MATCH('Payment by Source'!$A210,'Payment Total'!$A$7:$A$336,0),6)-I210</f>
        <v>0</v>
      </c>
      <c r="P210" s="158">
        <f>INDEX('Budget by Source'!$A$6:$I$335,MATCH('Payment by Source'!$A210,'Budget by Source'!$A$6:$A$335,0),MATCH(P$3,'Budget by Source'!$A$5:$I$5,0))-(ROUND(INDEX('Budget by Source'!$A$6:$I$335,MATCH('Payment by Source'!$A210,'Budget by Source'!$A$6:$A$335,0),MATCH(P$3,'Budget by Source'!$A$5:$I$5,0))/10,0)*10)</f>
        <v>2</v>
      </c>
      <c r="Q210" s="158">
        <f>INDEX('Budget by Source'!$A$6:$I$335,MATCH('Payment by Source'!$A210,'Budget by Source'!$A$6:$A$335,0),MATCH(Q$3,'Budget by Source'!$A$5:$I$5,0))-(ROUND(INDEX('Budget by Source'!$A$6:$I$335,MATCH('Payment by Source'!$A210,'Budget by Source'!$A$6:$A$335,0),MATCH(Q$3,'Budget by Source'!$A$5:$I$5,0))/10,0)*10)</f>
        <v>-2</v>
      </c>
      <c r="R210" s="158">
        <f>INDEX('Budget by Source'!$A$6:$I$335,MATCH('Payment by Source'!$A210,'Budget by Source'!$A$6:$A$335,0),MATCH(R$3,'Budget by Source'!$A$5:$I$5,0))-(ROUND(INDEX('Budget by Source'!$A$6:$I$335,MATCH('Payment by Source'!$A210,'Budget by Source'!$A$6:$A$335,0),MATCH(R$3,'Budget by Source'!$A$5:$I$5,0))/10,0)*10)</f>
        <v>-5</v>
      </c>
      <c r="S210" s="158">
        <f>INDEX('Budget by Source'!$A$6:$I$335,MATCH('Payment by Source'!$A210,'Budget by Source'!$A$6:$A$335,0),MATCH(S$3,'Budget by Source'!$A$5:$I$5,0))-(ROUND(INDEX('Budget by Source'!$A$6:$I$335,MATCH('Payment by Source'!$A210,'Budget by Source'!$A$6:$A$335,0),MATCH(S$3,'Budget by Source'!$A$5:$I$5,0))/10,0)*10)</f>
        <v>3</v>
      </c>
      <c r="T210" s="158">
        <f>INDEX('Budget by Source'!$A$6:$I$335,MATCH('Payment by Source'!$A210,'Budget by Source'!$A$6:$A$335,0),MATCH(T$3,'Budget by Source'!$A$5:$I$5,0))-(ROUND(INDEX('Budget by Source'!$A$6:$I$335,MATCH('Payment by Source'!$A210,'Budget by Source'!$A$6:$A$335,0),MATCH(T$3,'Budget by Source'!$A$5:$I$5,0))/10,0)*10)</f>
        <v>-4</v>
      </c>
      <c r="U210" s="159">
        <f>INDEX('Budget by Source'!$A$6:$I$335,MATCH('Payment by Source'!$A210,'Budget by Source'!$A$6:$A$335,0),MATCH(U$3,'Budget by Source'!$A$5:$I$5,0))</f>
        <v>1656810</v>
      </c>
      <c r="V210" s="156">
        <f t="shared" si="10"/>
        <v>165681</v>
      </c>
      <c r="W210" s="156">
        <f t="shared" si="11"/>
        <v>1656810</v>
      </c>
    </row>
    <row r="211" spans="1:23" x14ac:dyDescent="0.2">
      <c r="A211" s="23" t="str">
        <f>Data!B207</f>
        <v>4662</v>
      </c>
      <c r="B211" s="21" t="str">
        <f>INDEX(Data[],MATCH($A211,Data[Dist],0),MATCH(B$5,Data[#Headers],0))</f>
        <v>New Hampton</v>
      </c>
      <c r="C211" s="22">
        <f>IF(Notes!$B$2="June",ROUND('Budget by Source'!C211/10,0)+P211,ROUND('Budget by Source'!C211/10,0))</f>
        <v>20777</v>
      </c>
      <c r="D211" s="22">
        <f>IF(Notes!$B$2="June",ROUND('Budget by Source'!D211/10,0)+Q211,ROUND('Budget by Source'!D211/10,0))</f>
        <v>56144</v>
      </c>
      <c r="E211" s="22">
        <f>IF(Notes!$B$2="June",ROUND('Budget by Source'!E211/10,0)+R211,ROUND('Budget by Source'!E211/10,0))</f>
        <v>5090</v>
      </c>
      <c r="F211" s="22">
        <f>IF(Notes!$B$2="June",ROUND('Budget by Source'!F211/10,0)+S211,ROUND('Budget by Source'!F211/10,0))</f>
        <v>6224</v>
      </c>
      <c r="G211" s="22">
        <f>IF(Notes!$B$2="June",ROUND('Budget by Source'!G211/10,0)+T211,ROUND('Budget by Source'!G211/10,0))</f>
        <v>31330</v>
      </c>
      <c r="H211" s="22">
        <f t="shared" si="9"/>
        <v>391417</v>
      </c>
      <c r="I211" s="22">
        <f>INDEX(Data[],MATCH($A211,Data[Dist],0),MATCH(I$5,Data[#Headers],0))</f>
        <v>510982</v>
      </c>
      <c r="K211" s="70">
        <f>INDEX('Payment Total'!$A$7:$H$336,MATCH('Payment by Source'!$A211,'Payment Total'!$A$7:$A$336,0),6)-I211</f>
        <v>0</v>
      </c>
      <c r="P211" s="158">
        <f>INDEX('Budget by Source'!$A$6:$I$335,MATCH('Payment by Source'!$A211,'Budget by Source'!$A$6:$A$335,0),MATCH(P$3,'Budget by Source'!$A$5:$I$5,0))-(ROUND(INDEX('Budget by Source'!$A$6:$I$335,MATCH('Payment by Source'!$A211,'Budget by Source'!$A$6:$A$335,0),MATCH(P$3,'Budget by Source'!$A$5:$I$5,0))/10,0)*10)</f>
        <v>-2</v>
      </c>
      <c r="Q211" s="158">
        <f>INDEX('Budget by Source'!$A$6:$I$335,MATCH('Payment by Source'!$A211,'Budget by Source'!$A$6:$A$335,0),MATCH(Q$3,'Budget by Source'!$A$5:$I$5,0))-(ROUND(INDEX('Budget by Source'!$A$6:$I$335,MATCH('Payment by Source'!$A211,'Budget by Source'!$A$6:$A$335,0),MATCH(Q$3,'Budget by Source'!$A$5:$I$5,0))/10,0)*10)</f>
        <v>4</v>
      </c>
      <c r="R211" s="158">
        <f>INDEX('Budget by Source'!$A$6:$I$335,MATCH('Payment by Source'!$A211,'Budget by Source'!$A$6:$A$335,0),MATCH(R$3,'Budget by Source'!$A$5:$I$5,0))-(ROUND(INDEX('Budget by Source'!$A$6:$I$335,MATCH('Payment by Source'!$A211,'Budget by Source'!$A$6:$A$335,0),MATCH(R$3,'Budget by Source'!$A$5:$I$5,0))/10,0)*10)</f>
        <v>-5</v>
      </c>
      <c r="S211" s="158">
        <f>INDEX('Budget by Source'!$A$6:$I$335,MATCH('Payment by Source'!$A211,'Budget by Source'!$A$6:$A$335,0),MATCH(S$3,'Budget by Source'!$A$5:$I$5,0))-(ROUND(INDEX('Budget by Source'!$A$6:$I$335,MATCH('Payment by Source'!$A211,'Budget by Source'!$A$6:$A$335,0),MATCH(S$3,'Budget by Source'!$A$5:$I$5,0))/10,0)*10)</f>
        <v>-1</v>
      </c>
      <c r="T211" s="158">
        <f>INDEX('Budget by Source'!$A$6:$I$335,MATCH('Payment by Source'!$A211,'Budget by Source'!$A$6:$A$335,0),MATCH(T$3,'Budget by Source'!$A$5:$I$5,0))-(ROUND(INDEX('Budget by Source'!$A$6:$I$335,MATCH('Payment by Source'!$A211,'Budget by Source'!$A$6:$A$335,0),MATCH(T$3,'Budget by Source'!$A$5:$I$5,0))/10,0)*10)</f>
        <v>-1</v>
      </c>
      <c r="U211" s="159">
        <f>INDEX('Budget by Source'!$A$6:$I$335,MATCH('Payment by Source'!$A211,'Budget by Source'!$A$6:$A$335,0),MATCH(U$3,'Budget by Source'!$A$5:$I$5,0))</f>
        <v>3930117</v>
      </c>
      <c r="V211" s="156">
        <f t="shared" si="10"/>
        <v>393012</v>
      </c>
      <c r="W211" s="156">
        <f t="shared" si="11"/>
        <v>3930120</v>
      </c>
    </row>
    <row r="212" spans="1:23" x14ac:dyDescent="0.2">
      <c r="A212" s="23" t="str">
        <f>Data!B208</f>
        <v>4689</v>
      </c>
      <c r="B212" s="21" t="str">
        <f>INDEX(Data[],MATCH($A212,Data[Dist],0),MATCH(B$5,Data[#Headers],0))</f>
        <v>New London</v>
      </c>
      <c r="C212" s="22">
        <f>IF(Notes!$B$2="June",ROUND('Budget by Source'!C212/10,0)+P212,ROUND('Budget by Source'!C212/10,0))</f>
        <v>4692</v>
      </c>
      <c r="D212" s="22">
        <f>IF(Notes!$B$2="June",ROUND('Budget by Source'!D212/10,0)+Q212,ROUND('Budget by Source'!D212/10,0))</f>
        <v>30149</v>
      </c>
      <c r="E212" s="22">
        <f>IF(Notes!$B$2="June",ROUND('Budget by Source'!E212/10,0)+R212,ROUND('Budget by Source'!E212/10,0))</f>
        <v>3589</v>
      </c>
      <c r="F212" s="22">
        <f>IF(Notes!$B$2="June",ROUND('Budget by Source'!F212/10,0)+S212,ROUND('Budget by Source'!F212/10,0))</f>
        <v>3175</v>
      </c>
      <c r="G212" s="22">
        <f>IF(Notes!$B$2="June",ROUND('Budget by Source'!G212/10,0)+T212,ROUND('Budget by Source'!G212/10,0))</f>
        <v>16379</v>
      </c>
      <c r="H212" s="22">
        <f t="shared" si="9"/>
        <v>261953</v>
      </c>
      <c r="I212" s="22">
        <f>INDEX(Data[],MATCH($A212,Data[Dist],0),MATCH(I$5,Data[#Headers],0))</f>
        <v>319937</v>
      </c>
      <c r="K212" s="70">
        <f>INDEX('Payment Total'!$A$7:$H$336,MATCH('Payment by Source'!$A212,'Payment Total'!$A$7:$A$336,0),6)-I212</f>
        <v>0</v>
      </c>
      <c r="P212" s="158">
        <f>INDEX('Budget by Source'!$A$6:$I$335,MATCH('Payment by Source'!$A212,'Budget by Source'!$A$6:$A$335,0),MATCH(P$3,'Budget by Source'!$A$5:$I$5,0))-(ROUND(INDEX('Budget by Source'!$A$6:$I$335,MATCH('Payment by Source'!$A212,'Budget by Source'!$A$6:$A$335,0),MATCH(P$3,'Budget by Source'!$A$5:$I$5,0))/10,0)*10)</f>
        <v>0</v>
      </c>
      <c r="Q212" s="158">
        <f>INDEX('Budget by Source'!$A$6:$I$335,MATCH('Payment by Source'!$A212,'Budget by Source'!$A$6:$A$335,0),MATCH(Q$3,'Budget by Source'!$A$5:$I$5,0))-(ROUND(INDEX('Budget by Source'!$A$6:$I$335,MATCH('Payment by Source'!$A212,'Budget by Source'!$A$6:$A$335,0),MATCH(Q$3,'Budget by Source'!$A$5:$I$5,0))/10,0)*10)</f>
        <v>-3</v>
      </c>
      <c r="R212" s="158">
        <f>INDEX('Budget by Source'!$A$6:$I$335,MATCH('Payment by Source'!$A212,'Budget by Source'!$A$6:$A$335,0),MATCH(R$3,'Budget by Source'!$A$5:$I$5,0))-(ROUND(INDEX('Budget by Source'!$A$6:$I$335,MATCH('Payment by Source'!$A212,'Budget by Source'!$A$6:$A$335,0),MATCH(R$3,'Budget by Source'!$A$5:$I$5,0))/10,0)*10)</f>
        <v>-5</v>
      </c>
      <c r="S212" s="158">
        <f>INDEX('Budget by Source'!$A$6:$I$335,MATCH('Payment by Source'!$A212,'Budget by Source'!$A$6:$A$335,0),MATCH(S$3,'Budget by Source'!$A$5:$I$5,0))-(ROUND(INDEX('Budget by Source'!$A$6:$I$335,MATCH('Payment by Source'!$A212,'Budget by Source'!$A$6:$A$335,0),MATCH(S$3,'Budget by Source'!$A$5:$I$5,0))/10,0)*10)</f>
        <v>1</v>
      </c>
      <c r="T212" s="158">
        <f>INDEX('Budget by Source'!$A$6:$I$335,MATCH('Payment by Source'!$A212,'Budget by Source'!$A$6:$A$335,0),MATCH(T$3,'Budget by Source'!$A$5:$I$5,0))-(ROUND(INDEX('Budget by Source'!$A$6:$I$335,MATCH('Payment by Source'!$A212,'Budget by Source'!$A$6:$A$335,0),MATCH(T$3,'Budget by Source'!$A$5:$I$5,0))/10,0)*10)</f>
        <v>2</v>
      </c>
      <c r="U212" s="159">
        <f>INDEX('Budget by Source'!$A$6:$I$335,MATCH('Payment by Source'!$A212,'Budget by Source'!$A$6:$A$335,0),MATCH(U$3,'Budget by Source'!$A$5:$I$5,0))</f>
        <v>2645129</v>
      </c>
      <c r="V212" s="156">
        <f t="shared" si="10"/>
        <v>264513</v>
      </c>
      <c r="W212" s="156">
        <f t="shared" si="11"/>
        <v>2645130</v>
      </c>
    </row>
    <row r="213" spans="1:23" x14ac:dyDescent="0.2">
      <c r="A213" s="23" t="str">
        <f>Data!B209</f>
        <v>4725</v>
      </c>
      <c r="B213" s="21" t="str">
        <f>INDEX(Data[],MATCH($A213,Data[Dist],0),MATCH(B$5,Data[#Headers],0))</f>
        <v>Newton</v>
      </c>
      <c r="C213" s="22">
        <f>IF(Notes!$B$2="June",ROUND('Budget by Source'!C213/10,0)+P213,ROUND('Budget by Source'!C213/10,0))</f>
        <v>30497</v>
      </c>
      <c r="D213" s="22">
        <f>IF(Notes!$B$2="June",ROUND('Budget by Source'!D213/10,0)+Q213,ROUND('Budget by Source'!D213/10,0))</f>
        <v>175071</v>
      </c>
      <c r="E213" s="22">
        <f>IF(Notes!$B$2="June",ROUND('Budget by Source'!E213/10,0)+R213,ROUND('Budget by Source'!E213/10,0))</f>
        <v>22805</v>
      </c>
      <c r="F213" s="22">
        <f>IF(Notes!$B$2="June",ROUND('Budget by Source'!F213/10,0)+S213,ROUND('Budget by Source'!F213/10,0))</f>
        <v>19482</v>
      </c>
      <c r="G213" s="22">
        <f>IF(Notes!$B$2="June",ROUND('Budget by Source'!G213/10,0)+T213,ROUND('Budget by Source'!G213/10,0))</f>
        <v>100418</v>
      </c>
      <c r="H213" s="22">
        <f t="shared" si="9"/>
        <v>1701223</v>
      </c>
      <c r="I213" s="22">
        <f>INDEX(Data[],MATCH($A213,Data[Dist],0),MATCH(I$5,Data[#Headers],0))</f>
        <v>2049496</v>
      </c>
      <c r="K213" s="70">
        <f>INDEX('Payment Total'!$A$7:$H$336,MATCH('Payment by Source'!$A213,'Payment Total'!$A$7:$A$336,0),6)-I213</f>
        <v>0</v>
      </c>
      <c r="P213" s="158">
        <f>INDEX('Budget by Source'!$A$6:$I$335,MATCH('Payment by Source'!$A213,'Budget by Source'!$A$6:$A$335,0),MATCH(P$3,'Budget by Source'!$A$5:$I$5,0))-(ROUND(INDEX('Budget by Source'!$A$6:$I$335,MATCH('Payment by Source'!$A213,'Budget by Source'!$A$6:$A$335,0),MATCH(P$3,'Budget by Source'!$A$5:$I$5,0))/10,0)*10)</f>
        <v>-1</v>
      </c>
      <c r="Q213" s="158">
        <f>INDEX('Budget by Source'!$A$6:$I$335,MATCH('Payment by Source'!$A213,'Budget by Source'!$A$6:$A$335,0),MATCH(Q$3,'Budget by Source'!$A$5:$I$5,0))-(ROUND(INDEX('Budget by Source'!$A$6:$I$335,MATCH('Payment by Source'!$A213,'Budget by Source'!$A$6:$A$335,0),MATCH(Q$3,'Budget by Source'!$A$5:$I$5,0))/10,0)*10)</f>
        <v>-1</v>
      </c>
      <c r="R213" s="158">
        <f>INDEX('Budget by Source'!$A$6:$I$335,MATCH('Payment by Source'!$A213,'Budget by Source'!$A$6:$A$335,0),MATCH(R$3,'Budget by Source'!$A$5:$I$5,0))-(ROUND(INDEX('Budget by Source'!$A$6:$I$335,MATCH('Payment by Source'!$A213,'Budget by Source'!$A$6:$A$335,0),MATCH(R$3,'Budget by Source'!$A$5:$I$5,0))/10,0)*10)</f>
        <v>2</v>
      </c>
      <c r="S213" s="158">
        <f>INDEX('Budget by Source'!$A$6:$I$335,MATCH('Payment by Source'!$A213,'Budget by Source'!$A$6:$A$335,0),MATCH(S$3,'Budget by Source'!$A$5:$I$5,0))-(ROUND(INDEX('Budget by Source'!$A$6:$I$335,MATCH('Payment by Source'!$A213,'Budget by Source'!$A$6:$A$335,0),MATCH(S$3,'Budget by Source'!$A$5:$I$5,0))/10,0)*10)</f>
        <v>4</v>
      </c>
      <c r="T213" s="158">
        <f>INDEX('Budget by Source'!$A$6:$I$335,MATCH('Payment by Source'!$A213,'Budget by Source'!$A$6:$A$335,0),MATCH(T$3,'Budget by Source'!$A$5:$I$5,0))-(ROUND(INDEX('Budget by Source'!$A$6:$I$335,MATCH('Payment by Source'!$A213,'Budget by Source'!$A$6:$A$335,0),MATCH(T$3,'Budget by Source'!$A$5:$I$5,0))/10,0)*10)</f>
        <v>-4</v>
      </c>
      <c r="U213" s="159">
        <f>INDEX('Budget by Source'!$A$6:$I$335,MATCH('Payment by Source'!$A213,'Budget by Source'!$A$6:$A$335,0),MATCH(U$3,'Budget by Source'!$A$5:$I$5,0))</f>
        <v>17063437</v>
      </c>
      <c r="V213" s="156">
        <f t="shared" si="10"/>
        <v>1706344</v>
      </c>
      <c r="W213" s="156">
        <f t="shared" si="11"/>
        <v>17063440</v>
      </c>
    </row>
    <row r="214" spans="1:23" x14ac:dyDescent="0.2">
      <c r="A214" s="23" t="str">
        <f>Data!B210</f>
        <v>4772</v>
      </c>
      <c r="B214" s="21" t="str">
        <f>INDEX(Data[],MATCH($A214,Data[Dist],0),MATCH(B$5,Data[#Headers],0))</f>
        <v>Central Springs</v>
      </c>
      <c r="C214" s="22">
        <f>IF(Notes!$B$2="June",ROUND('Budget by Source'!C214/10,0)+P214,ROUND('Budget by Source'!C214/10,0))</f>
        <v>15749</v>
      </c>
      <c r="D214" s="22">
        <f>IF(Notes!$B$2="June",ROUND('Budget by Source'!D214/10,0)+Q214,ROUND('Budget by Source'!D214/10,0))</f>
        <v>49773</v>
      </c>
      <c r="E214" s="22">
        <f>IF(Notes!$B$2="June",ROUND('Budget by Source'!E214/10,0)+R214,ROUND('Budget by Source'!E214/10,0))</f>
        <v>5111</v>
      </c>
      <c r="F214" s="22">
        <f>IF(Notes!$B$2="June",ROUND('Budget by Source'!F214/10,0)+S214,ROUND('Budget by Source'!F214/10,0))</f>
        <v>5585</v>
      </c>
      <c r="G214" s="22">
        <f>IF(Notes!$B$2="June",ROUND('Budget by Source'!G214/10,0)+T214,ROUND('Budget by Source'!G214/10,0))</f>
        <v>26608</v>
      </c>
      <c r="H214" s="22">
        <f t="shared" si="9"/>
        <v>357576</v>
      </c>
      <c r="I214" s="22">
        <f>INDEX(Data[],MATCH($A214,Data[Dist],0),MATCH(I$5,Data[#Headers],0))</f>
        <v>460402</v>
      </c>
      <c r="K214" s="70">
        <f>INDEX('Payment Total'!$A$7:$H$336,MATCH('Payment by Source'!$A214,'Payment Total'!$A$7:$A$336,0),6)-I214</f>
        <v>0</v>
      </c>
      <c r="P214" s="158">
        <f>INDEX('Budget by Source'!$A$6:$I$335,MATCH('Payment by Source'!$A214,'Budget by Source'!$A$6:$A$335,0),MATCH(P$3,'Budget by Source'!$A$5:$I$5,0))-(ROUND(INDEX('Budget by Source'!$A$6:$I$335,MATCH('Payment by Source'!$A214,'Budget by Source'!$A$6:$A$335,0),MATCH(P$3,'Budget by Source'!$A$5:$I$5,0))/10,0)*10)</f>
        <v>-3</v>
      </c>
      <c r="Q214" s="158">
        <f>INDEX('Budget by Source'!$A$6:$I$335,MATCH('Payment by Source'!$A214,'Budget by Source'!$A$6:$A$335,0),MATCH(Q$3,'Budget by Source'!$A$5:$I$5,0))-(ROUND(INDEX('Budget by Source'!$A$6:$I$335,MATCH('Payment by Source'!$A214,'Budget by Source'!$A$6:$A$335,0),MATCH(Q$3,'Budget by Source'!$A$5:$I$5,0))/10,0)*10)</f>
        <v>1</v>
      </c>
      <c r="R214" s="158">
        <f>INDEX('Budget by Source'!$A$6:$I$335,MATCH('Payment by Source'!$A214,'Budget by Source'!$A$6:$A$335,0),MATCH(R$3,'Budget by Source'!$A$5:$I$5,0))-(ROUND(INDEX('Budget by Source'!$A$6:$I$335,MATCH('Payment by Source'!$A214,'Budget by Source'!$A$6:$A$335,0),MATCH(R$3,'Budget by Source'!$A$5:$I$5,0))/10,0)*10)</f>
        <v>2</v>
      </c>
      <c r="S214" s="158">
        <f>INDEX('Budget by Source'!$A$6:$I$335,MATCH('Payment by Source'!$A214,'Budget by Source'!$A$6:$A$335,0),MATCH(S$3,'Budget by Source'!$A$5:$I$5,0))-(ROUND(INDEX('Budget by Source'!$A$6:$I$335,MATCH('Payment by Source'!$A214,'Budget by Source'!$A$6:$A$335,0),MATCH(S$3,'Budget by Source'!$A$5:$I$5,0))/10,0)*10)</f>
        <v>-2</v>
      </c>
      <c r="T214" s="158">
        <f>INDEX('Budget by Source'!$A$6:$I$335,MATCH('Payment by Source'!$A214,'Budget by Source'!$A$6:$A$335,0),MATCH(T$3,'Budget by Source'!$A$5:$I$5,0))-(ROUND(INDEX('Budget by Source'!$A$6:$I$335,MATCH('Payment by Source'!$A214,'Budget by Source'!$A$6:$A$335,0),MATCH(T$3,'Budget by Source'!$A$5:$I$5,0))/10,0)*10)</f>
        <v>-2</v>
      </c>
      <c r="U214" s="159">
        <f>INDEX('Budget by Source'!$A$6:$I$335,MATCH('Payment by Source'!$A214,'Budget by Source'!$A$6:$A$335,0),MATCH(U$3,'Budget by Source'!$A$5:$I$5,0))</f>
        <v>3589296</v>
      </c>
      <c r="V214" s="156">
        <f t="shared" si="10"/>
        <v>358930</v>
      </c>
      <c r="W214" s="156">
        <f t="shared" si="11"/>
        <v>3589300</v>
      </c>
    </row>
    <row r="215" spans="1:23" x14ac:dyDescent="0.2">
      <c r="A215" s="23" t="str">
        <f>Data!B211</f>
        <v>4773</v>
      </c>
      <c r="B215" s="21" t="str">
        <f>INDEX(Data[],MATCH($A215,Data[Dist],0),MATCH(B$5,Data[#Headers],0))</f>
        <v>Northeast</v>
      </c>
      <c r="C215" s="22">
        <f>IF(Notes!$B$2="June",ROUND('Budget by Source'!C215/10,0)+P215,ROUND('Budget by Source'!C215/10,0))</f>
        <v>11057</v>
      </c>
      <c r="D215" s="22">
        <f>IF(Notes!$B$2="June",ROUND('Budget by Source'!D215/10,0)+Q215,ROUND('Budget by Source'!D215/10,0))</f>
        <v>32681</v>
      </c>
      <c r="E215" s="22">
        <f>IF(Notes!$B$2="June",ROUND('Budget by Source'!E215/10,0)+R215,ROUND('Budget by Source'!E215/10,0))</f>
        <v>3953</v>
      </c>
      <c r="F215" s="22">
        <f>IF(Notes!$B$2="June",ROUND('Budget by Source'!F215/10,0)+S215,ROUND('Budget by Source'!F215/10,0))</f>
        <v>3685</v>
      </c>
      <c r="G215" s="22">
        <f>IF(Notes!$B$2="June",ROUND('Budget by Source'!G215/10,0)+T215,ROUND('Budget by Source'!G215/10,0))</f>
        <v>16962</v>
      </c>
      <c r="H215" s="22">
        <f t="shared" si="9"/>
        <v>214344</v>
      </c>
      <c r="I215" s="22">
        <f>INDEX(Data[],MATCH($A215,Data[Dist],0),MATCH(I$5,Data[#Headers],0))</f>
        <v>282682</v>
      </c>
      <c r="K215" s="70">
        <f>INDEX('Payment Total'!$A$7:$H$336,MATCH('Payment by Source'!$A215,'Payment Total'!$A$7:$A$336,0),6)-I215</f>
        <v>0</v>
      </c>
      <c r="P215" s="158">
        <f>INDEX('Budget by Source'!$A$6:$I$335,MATCH('Payment by Source'!$A215,'Budget by Source'!$A$6:$A$335,0),MATCH(P$3,'Budget by Source'!$A$5:$I$5,0))-(ROUND(INDEX('Budget by Source'!$A$6:$I$335,MATCH('Payment by Source'!$A215,'Budget by Source'!$A$6:$A$335,0),MATCH(P$3,'Budget by Source'!$A$5:$I$5,0))/10,0)*10)</f>
        <v>-3</v>
      </c>
      <c r="Q215" s="158">
        <f>INDEX('Budget by Source'!$A$6:$I$335,MATCH('Payment by Source'!$A215,'Budget by Source'!$A$6:$A$335,0),MATCH(Q$3,'Budget by Source'!$A$5:$I$5,0))-(ROUND(INDEX('Budget by Source'!$A$6:$I$335,MATCH('Payment by Source'!$A215,'Budget by Source'!$A$6:$A$335,0),MATCH(Q$3,'Budget by Source'!$A$5:$I$5,0))/10,0)*10)</f>
        <v>-4</v>
      </c>
      <c r="R215" s="158">
        <f>INDEX('Budget by Source'!$A$6:$I$335,MATCH('Payment by Source'!$A215,'Budget by Source'!$A$6:$A$335,0),MATCH(R$3,'Budget by Source'!$A$5:$I$5,0))-(ROUND(INDEX('Budget by Source'!$A$6:$I$335,MATCH('Payment by Source'!$A215,'Budget by Source'!$A$6:$A$335,0),MATCH(R$3,'Budget by Source'!$A$5:$I$5,0))/10,0)*10)</f>
        <v>4</v>
      </c>
      <c r="S215" s="158">
        <f>INDEX('Budget by Source'!$A$6:$I$335,MATCH('Payment by Source'!$A215,'Budget by Source'!$A$6:$A$335,0),MATCH(S$3,'Budget by Source'!$A$5:$I$5,0))-(ROUND(INDEX('Budget by Source'!$A$6:$I$335,MATCH('Payment by Source'!$A215,'Budget by Source'!$A$6:$A$335,0),MATCH(S$3,'Budget by Source'!$A$5:$I$5,0))/10,0)*10)</f>
        <v>0</v>
      </c>
      <c r="T215" s="158">
        <f>INDEX('Budget by Source'!$A$6:$I$335,MATCH('Payment by Source'!$A215,'Budget by Source'!$A$6:$A$335,0),MATCH(T$3,'Budget by Source'!$A$5:$I$5,0))-(ROUND(INDEX('Budget by Source'!$A$6:$I$335,MATCH('Payment by Source'!$A215,'Budget by Source'!$A$6:$A$335,0),MATCH(T$3,'Budget by Source'!$A$5:$I$5,0))/10,0)*10)</f>
        <v>0</v>
      </c>
      <c r="U215" s="159">
        <f>INDEX('Budget by Source'!$A$6:$I$335,MATCH('Payment by Source'!$A215,'Budget by Source'!$A$6:$A$335,0),MATCH(U$3,'Budget by Source'!$A$5:$I$5,0))</f>
        <v>2152000</v>
      </c>
      <c r="V215" s="156">
        <f t="shared" si="10"/>
        <v>215200</v>
      </c>
      <c r="W215" s="156">
        <f t="shared" si="11"/>
        <v>2152000</v>
      </c>
    </row>
    <row r="216" spans="1:23" x14ac:dyDescent="0.2">
      <c r="A216" s="23" t="str">
        <f>Data!B212</f>
        <v>4774</v>
      </c>
      <c r="B216" s="21" t="str">
        <f>INDEX(Data[],MATCH($A216,Data[Dist],0),MATCH(B$5,Data[#Headers],0))</f>
        <v>North Fayette Valley</v>
      </c>
      <c r="C216" s="22">
        <f>IF(Notes!$B$2="June",ROUND('Budget by Source'!C216/10,0)+P216,ROUND('Budget by Source'!C216/10,0))</f>
        <v>23123</v>
      </c>
      <c r="D216" s="22">
        <f>IF(Notes!$B$2="June",ROUND('Budget by Source'!D216/10,0)+Q216,ROUND('Budget by Source'!D216/10,0))</f>
        <v>66970</v>
      </c>
      <c r="E216" s="22">
        <f>IF(Notes!$B$2="June",ROUND('Budget by Source'!E216/10,0)+R216,ROUND('Budget by Source'!E216/10,0))</f>
        <v>7304</v>
      </c>
      <c r="F216" s="22">
        <f>IF(Notes!$B$2="June",ROUND('Budget by Source'!F216/10,0)+S216,ROUND('Budget by Source'!F216/10,0))</f>
        <v>7317</v>
      </c>
      <c r="G216" s="22">
        <f>IF(Notes!$B$2="June",ROUND('Budget by Source'!G216/10,0)+T216,ROUND('Budget by Source'!G216/10,0))</f>
        <v>37032</v>
      </c>
      <c r="H216" s="22">
        <f t="shared" si="9"/>
        <v>632890</v>
      </c>
      <c r="I216" s="22">
        <f>INDEX(Data[],MATCH($A216,Data[Dist],0),MATCH(I$5,Data[#Headers],0))</f>
        <v>774636</v>
      </c>
      <c r="K216" s="70">
        <f>INDEX('Payment Total'!$A$7:$H$336,MATCH('Payment by Source'!$A216,'Payment Total'!$A$7:$A$336,0),6)-I216</f>
        <v>0</v>
      </c>
      <c r="P216" s="158">
        <f>INDEX('Budget by Source'!$A$6:$I$335,MATCH('Payment by Source'!$A216,'Budget by Source'!$A$6:$A$335,0),MATCH(P$3,'Budget by Source'!$A$5:$I$5,0))-(ROUND(INDEX('Budget by Source'!$A$6:$I$335,MATCH('Payment by Source'!$A216,'Budget by Source'!$A$6:$A$335,0),MATCH(P$3,'Budget by Source'!$A$5:$I$5,0))/10,0)*10)</f>
        <v>-2</v>
      </c>
      <c r="Q216" s="158">
        <f>INDEX('Budget by Source'!$A$6:$I$335,MATCH('Payment by Source'!$A216,'Budget by Source'!$A$6:$A$335,0),MATCH(Q$3,'Budget by Source'!$A$5:$I$5,0))-(ROUND(INDEX('Budget by Source'!$A$6:$I$335,MATCH('Payment by Source'!$A216,'Budget by Source'!$A$6:$A$335,0),MATCH(Q$3,'Budget by Source'!$A$5:$I$5,0))/10,0)*10)</f>
        <v>-1</v>
      </c>
      <c r="R216" s="158">
        <f>INDEX('Budget by Source'!$A$6:$I$335,MATCH('Payment by Source'!$A216,'Budget by Source'!$A$6:$A$335,0),MATCH(R$3,'Budget by Source'!$A$5:$I$5,0))-(ROUND(INDEX('Budget by Source'!$A$6:$I$335,MATCH('Payment by Source'!$A216,'Budget by Source'!$A$6:$A$335,0),MATCH(R$3,'Budget by Source'!$A$5:$I$5,0))/10,0)*10)</f>
        <v>3</v>
      </c>
      <c r="S216" s="158">
        <f>INDEX('Budget by Source'!$A$6:$I$335,MATCH('Payment by Source'!$A216,'Budget by Source'!$A$6:$A$335,0),MATCH(S$3,'Budget by Source'!$A$5:$I$5,0))-(ROUND(INDEX('Budget by Source'!$A$6:$I$335,MATCH('Payment by Source'!$A216,'Budget by Source'!$A$6:$A$335,0),MATCH(S$3,'Budget by Source'!$A$5:$I$5,0))/10,0)*10)</f>
        <v>-4</v>
      </c>
      <c r="T216" s="158">
        <f>INDEX('Budget by Source'!$A$6:$I$335,MATCH('Payment by Source'!$A216,'Budget by Source'!$A$6:$A$335,0),MATCH(T$3,'Budget by Source'!$A$5:$I$5,0))-(ROUND(INDEX('Budget by Source'!$A$6:$I$335,MATCH('Payment by Source'!$A216,'Budget by Source'!$A$6:$A$335,0),MATCH(T$3,'Budget by Source'!$A$5:$I$5,0))/10,0)*10)</f>
        <v>4</v>
      </c>
      <c r="U216" s="159">
        <f>INDEX('Budget by Source'!$A$6:$I$335,MATCH('Payment by Source'!$A216,'Budget by Source'!$A$6:$A$335,0),MATCH(U$3,'Budget by Source'!$A$5:$I$5,0))</f>
        <v>6347796</v>
      </c>
      <c r="V216" s="156">
        <f t="shared" si="10"/>
        <v>634780</v>
      </c>
      <c r="W216" s="156">
        <f t="shared" si="11"/>
        <v>6347800</v>
      </c>
    </row>
    <row r="217" spans="1:23" x14ac:dyDescent="0.2">
      <c r="A217" s="23" t="str">
        <f>Data!B213</f>
        <v>4775</v>
      </c>
      <c r="B217" s="21" t="str">
        <f>INDEX(Data[],MATCH($A217,Data[Dist],0),MATCH(B$5,Data[#Headers],0))</f>
        <v>Northeast Hamilton</v>
      </c>
      <c r="C217" s="22">
        <f>IF(Notes!$B$2="June",ROUND('Budget by Source'!C217/10,0)+P217,ROUND('Budget by Source'!C217/10,0))</f>
        <v>2009</v>
      </c>
      <c r="D217" s="22">
        <f>IF(Notes!$B$2="June",ROUND('Budget by Source'!D217/10,0)+Q217,ROUND('Budget by Source'!D217/10,0))</f>
        <v>12901</v>
      </c>
      <c r="E217" s="22">
        <f>IF(Notes!$B$2="June",ROUND('Budget by Source'!E217/10,0)+R217,ROUND('Budget by Source'!E217/10,0))</f>
        <v>1291</v>
      </c>
      <c r="F217" s="22">
        <f>IF(Notes!$B$2="June",ROUND('Budget by Source'!F217/10,0)+S217,ROUND('Budget by Source'!F217/10,0))</f>
        <v>1385</v>
      </c>
      <c r="G217" s="22">
        <f>IF(Notes!$B$2="June",ROUND('Budget by Source'!G217/10,0)+T217,ROUND('Budget by Source'!G217/10,0))</f>
        <v>6309</v>
      </c>
      <c r="H217" s="22">
        <f t="shared" si="9"/>
        <v>32542</v>
      </c>
      <c r="I217" s="22">
        <f>INDEX(Data[],MATCH($A217,Data[Dist],0),MATCH(I$5,Data[#Headers],0))</f>
        <v>56437</v>
      </c>
      <c r="K217" s="70">
        <f>INDEX('Payment Total'!$A$7:$H$336,MATCH('Payment by Source'!$A217,'Payment Total'!$A$7:$A$336,0),6)-I217</f>
        <v>0</v>
      </c>
      <c r="P217" s="158">
        <f>INDEX('Budget by Source'!$A$6:$I$335,MATCH('Payment by Source'!$A217,'Budget by Source'!$A$6:$A$335,0),MATCH(P$3,'Budget by Source'!$A$5:$I$5,0))-(ROUND(INDEX('Budget by Source'!$A$6:$I$335,MATCH('Payment by Source'!$A217,'Budget by Source'!$A$6:$A$335,0),MATCH(P$3,'Budget by Source'!$A$5:$I$5,0))/10,0)*10)</f>
        <v>-2</v>
      </c>
      <c r="Q217" s="158">
        <f>INDEX('Budget by Source'!$A$6:$I$335,MATCH('Payment by Source'!$A217,'Budget by Source'!$A$6:$A$335,0),MATCH(Q$3,'Budget by Source'!$A$5:$I$5,0))-(ROUND(INDEX('Budget by Source'!$A$6:$I$335,MATCH('Payment by Source'!$A217,'Budget by Source'!$A$6:$A$335,0),MATCH(Q$3,'Budget by Source'!$A$5:$I$5,0))/10,0)*10)</f>
        <v>4</v>
      </c>
      <c r="R217" s="158">
        <f>INDEX('Budget by Source'!$A$6:$I$335,MATCH('Payment by Source'!$A217,'Budget by Source'!$A$6:$A$335,0),MATCH(R$3,'Budget by Source'!$A$5:$I$5,0))-(ROUND(INDEX('Budget by Source'!$A$6:$I$335,MATCH('Payment by Source'!$A217,'Budget by Source'!$A$6:$A$335,0),MATCH(R$3,'Budget by Source'!$A$5:$I$5,0))/10,0)*10)</f>
        <v>-3</v>
      </c>
      <c r="S217" s="158">
        <f>INDEX('Budget by Source'!$A$6:$I$335,MATCH('Payment by Source'!$A217,'Budget by Source'!$A$6:$A$335,0),MATCH(S$3,'Budget by Source'!$A$5:$I$5,0))-(ROUND(INDEX('Budget by Source'!$A$6:$I$335,MATCH('Payment by Source'!$A217,'Budget by Source'!$A$6:$A$335,0),MATCH(S$3,'Budget by Source'!$A$5:$I$5,0))/10,0)*10)</f>
        <v>3</v>
      </c>
      <c r="T217" s="158">
        <f>INDEX('Budget by Source'!$A$6:$I$335,MATCH('Payment by Source'!$A217,'Budget by Source'!$A$6:$A$335,0),MATCH(T$3,'Budget by Source'!$A$5:$I$5,0))-(ROUND(INDEX('Budget by Source'!$A$6:$I$335,MATCH('Payment by Source'!$A217,'Budget by Source'!$A$6:$A$335,0),MATCH(T$3,'Budget by Source'!$A$5:$I$5,0))/10,0)*10)</f>
        <v>-5</v>
      </c>
      <c r="U217" s="159">
        <f>INDEX('Budget by Source'!$A$6:$I$335,MATCH('Payment by Source'!$A217,'Budget by Source'!$A$6:$A$335,0),MATCH(U$3,'Budget by Source'!$A$5:$I$5,0))</f>
        <v>328582</v>
      </c>
      <c r="V217" s="156">
        <f t="shared" si="10"/>
        <v>32858</v>
      </c>
      <c r="W217" s="156">
        <f t="shared" si="11"/>
        <v>328580</v>
      </c>
    </row>
    <row r="218" spans="1:23" x14ac:dyDescent="0.2">
      <c r="A218" s="23" t="str">
        <f>Data!B214</f>
        <v>4776</v>
      </c>
      <c r="B218" s="21" t="str">
        <f>INDEX(Data[],MATCH($A218,Data[Dist],0),MATCH(B$5,Data[#Headers],0))</f>
        <v>North Mahaska</v>
      </c>
      <c r="C218" s="22">
        <f>IF(Notes!$B$2="June",ROUND('Budget by Source'!C218/10,0)+P218,ROUND('Budget by Source'!C218/10,0))</f>
        <v>10056</v>
      </c>
      <c r="D218" s="22">
        <f>IF(Notes!$B$2="June",ROUND('Budget by Source'!D218/10,0)+Q218,ROUND('Budget by Source'!D218/10,0))</f>
        <v>30753</v>
      </c>
      <c r="E218" s="22">
        <f>IF(Notes!$B$2="June",ROUND('Budget by Source'!E218/10,0)+R218,ROUND('Budget by Source'!E218/10,0))</f>
        <v>3869</v>
      </c>
      <c r="F218" s="22">
        <f>IF(Notes!$B$2="June",ROUND('Budget by Source'!F218/10,0)+S218,ROUND('Budget by Source'!F218/10,0))</f>
        <v>3298</v>
      </c>
      <c r="G218" s="22">
        <f>IF(Notes!$B$2="June",ROUND('Budget by Source'!G218/10,0)+T218,ROUND('Budget by Source'!G218/10,0))</f>
        <v>16467</v>
      </c>
      <c r="H218" s="22">
        <f t="shared" si="9"/>
        <v>200013</v>
      </c>
      <c r="I218" s="22">
        <f>INDEX(Data[],MATCH($A218,Data[Dist],0),MATCH(I$5,Data[#Headers],0))</f>
        <v>264456</v>
      </c>
      <c r="K218" s="70">
        <f>INDEX('Payment Total'!$A$7:$H$336,MATCH('Payment by Source'!$A218,'Payment Total'!$A$7:$A$336,0),6)-I218</f>
        <v>0</v>
      </c>
      <c r="P218" s="158">
        <f>INDEX('Budget by Source'!$A$6:$I$335,MATCH('Payment by Source'!$A218,'Budget by Source'!$A$6:$A$335,0),MATCH(P$3,'Budget by Source'!$A$5:$I$5,0))-(ROUND(INDEX('Budget by Source'!$A$6:$I$335,MATCH('Payment by Source'!$A218,'Budget by Source'!$A$6:$A$335,0),MATCH(P$3,'Budget by Source'!$A$5:$I$5,0))/10,0)*10)</f>
        <v>2</v>
      </c>
      <c r="Q218" s="158">
        <f>INDEX('Budget by Source'!$A$6:$I$335,MATCH('Payment by Source'!$A218,'Budget by Source'!$A$6:$A$335,0),MATCH(Q$3,'Budget by Source'!$A$5:$I$5,0))-(ROUND(INDEX('Budget by Source'!$A$6:$I$335,MATCH('Payment by Source'!$A218,'Budget by Source'!$A$6:$A$335,0),MATCH(Q$3,'Budget by Source'!$A$5:$I$5,0))/10,0)*10)</f>
        <v>-5</v>
      </c>
      <c r="R218" s="158">
        <f>INDEX('Budget by Source'!$A$6:$I$335,MATCH('Payment by Source'!$A218,'Budget by Source'!$A$6:$A$335,0),MATCH(R$3,'Budget by Source'!$A$5:$I$5,0))-(ROUND(INDEX('Budget by Source'!$A$6:$I$335,MATCH('Payment by Source'!$A218,'Budget by Source'!$A$6:$A$335,0),MATCH(R$3,'Budget by Source'!$A$5:$I$5,0))/10,0)*10)</f>
        <v>1</v>
      </c>
      <c r="S218" s="158">
        <f>INDEX('Budget by Source'!$A$6:$I$335,MATCH('Payment by Source'!$A218,'Budget by Source'!$A$6:$A$335,0),MATCH(S$3,'Budget by Source'!$A$5:$I$5,0))-(ROUND(INDEX('Budget by Source'!$A$6:$I$335,MATCH('Payment by Source'!$A218,'Budget by Source'!$A$6:$A$335,0),MATCH(S$3,'Budget by Source'!$A$5:$I$5,0))/10,0)*10)</f>
        <v>-4</v>
      </c>
      <c r="T218" s="158">
        <f>INDEX('Budget by Source'!$A$6:$I$335,MATCH('Payment by Source'!$A218,'Budget by Source'!$A$6:$A$335,0),MATCH(T$3,'Budget by Source'!$A$5:$I$5,0))-(ROUND(INDEX('Budget by Source'!$A$6:$I$335,MATCH('Payment by Source'!$A218,'Budget by Source'!$A$6:$A$335,0),MATCH(T$3,'Budget by Source'!$A$5:$I$5,0))/10,0)*10)</f>
        <v>-4</v>
      </c>
      <c r="U218" s="159">
        <f>INDEX('Budget by Source'!$A$6:$I$335,MATCH('Payment by Source'!$A218,'Budget by Source'!$A$6:$A$335,0),MATCH(U$3,'Budget by Source'!$A$5:$I$5,0))</f>
        <v>2007833</v>
      </c>
      <c r="V218" s="156">
        <f t="shared" si="10"/>
        <v>200783</v>
      </c>
      <c r="W218" s="156">
        <f t="shared" si="11"/>
        <v>2007830</v>
      </c>
    </row>
    <row r="219" spans="1:23" x14ac:dyDescent="0.2">
      <c r="A219" s="23" t="str">
        <f>Data!B215</f>
        <v>4777</v>
      </c>
      <c r="B219" s="21" t="str">
        <f>INDEX(Data[],MATCH($A219,Data[Dist],0),MATCH(B$5,Data[#Headers],0))</f>
        <v>North Linn</v>
      </c>
      <c r="C219" s="22">
        <f>IF(Notes!$B$2="June",ROUND('Budget by Source'!C219/10,0)+P219,ROUND('Budget by Source'!C219/10,0))</f>
        <v>12402</v>
      </c>
      <c r="D219" s="22">
        <f>IF(Notes!$B$2="June",ROUND('Budget by Source'!D219/10,0)+Q219,ROUND('Budget by Source'!D219/10,0))</f>
        <v>36238</v>
      </c>
      <c r="E219" s="22">
        <f>IF(Notes!$B$2="June",ROUND('Budget by Source'!E219/10,0)+R219,ROUND('Budget by Source'!E219/10,0))</f>
        <v>3757</v>
      </c>
      <c r="F219" s="22">
        <f>IF(Notes!$B$2="June",ROUND('Budget by Source'!F219/10,0)+S219,ROUND('Budget by Source'!F219/10,0))</f>
        <v>3778</v>
      </c>
      <c r="G219" s="22">
        <f>IF(Notes!$B$2="June",ROUND('Budget by Source'!G219/10,0)+T219,ROUND('Budget by Source'!G219/10,0))</f>
        <v>20729</v>
      </c>
      <c r="H219" s="22">
        <f t="shared" si="9"/>
        <v>265406</v>
      </c>
      <c r="I219" s="22">
        <f>INDEX(Data[],MATCH($A219,Data[Dist],0),MATCH(I$5,Data[#Headers],0))</f>
        <v>342310</v>
      </c>
      <c r="K219" s="70">
        <f>INDEX('Payment Total'!$A$7:$H$336,MATCH('Payment by Source'!$A219,'Payment Total'!$A$7:$A$336,0),6)-I219</f>
        <v>0</v>
      </c>
      <c r="P219" s="158">
        <f>INDEX('Budget by Source'!$A$6:$I$335,MATCH('Payment by Source'!$A219,'Budget by Source'!$A$6:$A$335,0),MATCH(P$3,'Budget by Source'!$A$5:$I$5,0))-(ROUND(INDEX('Budget by Source'!$A$6:$I$335,MATCH('Payment by Source'!$A219,'Budget by Source'!$A$6:$A$335,0),MATCH(P$3,'Budget by Source'!$A$5:$I$5,0))/10,0)*10)</f>
        <v>2</v>
      </c>
      <c r="Q219" s="158">
        <f>INDEX('Budget by Source'!$A$6:$I$335,MATCH('Payment by Source'!$A219,'Budget by Source'!$A$6:$A$335,0),MATCH(Q$3,'Budget by Source'!$A$5:$I$5,0))-(ROUND(INDEX('Budget by Source'!$A$6:$I$335,MATCH('Payment by Source'!$A219,'Budget by Source'!$A$6:$A$335,0),MATCH(Q$3,'Budget by Source'!$A$5:$I$5,0))/10,0)*10)</f>
        <v>-5</v>
      </c>
      <c r="R219" s="158">
        <f>INDEX('Budget by Source'!$A$6:$I$335,MATCH('Payment by Source'!$A219,'Budget by Source'!$A$6:$A$335,0),MATCH(R$3,'Budget by Source'!$A$5:$I$5,0))-(ROUND(INDEX('Budget by Source'!$A$6:$I$335,MATCH('Payment by Source'!$A219,'Budget by Source'!$A$6:$A$335,0),MATCH(R$3,'Budget by Source'!$A$5:$I$5,0))/10,0)*10)</f>
        <v>-4</v>
      </c>
      <c r="S219" s="158">
        <f>INDEX('Budget by Source'!$A$6:$I$335,MATCH('Payment by Source'!$A219,'Budget by Source'!$A$6:$A$335,0),MATCH(S$3,'Budget by Source'!$A$5:$I$5,0))-(ROUND(INDEX('Budget by Source'!$A$6:$I$335,MATCH('Payment by Source'!$A219,'Budget by Source'!$A$6:$A$335,0),MATCH(S$3,'Budget by Source'!$A$5:$I$5,0))/10,0)*10)</f>
        <v>0</v>
      </c>
      <c r="T219" s="158">
        <f>INDEX('Budget by Source'!$A$6:$I$335,MATCH('Payment by Source'!$A219,'Budget by Source'!$A$6:$A$335,0),MATCH(T$3,'Budget by Source'!$A$5:$I$5,0))-(ROUND(INDEX('Budget by Source'!$A$6:$I$335,MATCH('Payment by Source'!$A219,'Budget by Source'!$A$6:$A$335,0),MATCH(T$3,'Budget by Source'!$A$5:$I$5,0))/10,0)*10)</f>
        <v>1</v>
      </c>
      <c r="U219" s="159">
        <f>INDEX('Budget by Source'!$A$6:$I$335,MATCH('Payment by Source'!$A219,'Budget by Source'!$A$6:$A$335,0),MATCH(U$3,'Budget by Source'!$A$5:$I$5,0))</f>
        <v>2664141</v>
      </c>
      <c r="V219" s="156">
        <f t="shared" si="10"/>
        <v>266414</v>
      </c>
      <c r="W219" s="156">
        <f t="shared" si="11"/>
        <v>2664140</v>
      </c>
    </row>
    <row r="220" spans="1:23" x14ac:dyDescent="0.2">
      <c r="A220" s="23" t="str">
        <f>Data!B216</f>
        <v>4778</v>
      </c>
      <c r="B220" s="21" t="str">
        <f>INDEX(Data[],MATCH($A220,Data[Dist],0),MATCH(B$5,Data[#Headers],0))</f>
        <v>North Kossuth</v>
      </c>
      <c r="C220" s="22">
        <f>IF(Notes!$B$2="June",ROUND('Budget by Source'!C220/10,0)+P220,ROUND('Budget by Source'!C220/10,0))</f>
        <v>7374</v>
      </c>
      <c r="D220" s="22">
        <f>IF(Notes!$B$2="June",ROUND('Budget by Source'!D220/10,0)+Q220,ROUND('Budget by Source'!D220/10,0))</f>
        <v>16851</v>
      </c>
      <c r="E220" s="22">
        <f>IF(Notes!$B$2="June",ROUND('Budget by Source'!E220/10,0)+R220,ROUND('Budget by Source'!E220/10,0))</f>
        <v>1685</v>
      </c>
      <c r="F220" s="22">
        <f>IF(Notes!$B$2="June",ROUND('Budget by Source'!F220/10,0)+S220,ROUND('Budget by Source'!F220/10,0))</f>
        <v>1887</v>
      </c>
      <c r="G220" s="22">
        <f>IF(Notes!$B$2="June",ROUND('Budget by Source'!G220/10,0)+T220,ROUND('Budget by Source'!G220/10,0))</f>
        <v>9199</v>
      </c>
      <c r="H220" s="22">
        <f t="shared" si="9"/>
        <v>79118</v>
      </c>
      <c r="I220" s="22">
        <f>INDEX(Data[],MATCH($A220,Data[Dist],0),MATCH(I$5,Data[#Headers],0))</f>
        <v>116114</v>
      </c>
      <c r="K220" s="70">
        <f>INDEX('Payment Total'!$A$7:$H$336,MATCH('Payment by Source'!$A220,'Payment Total'!$A$7:$A$336,0),6)-I220</f>
        <v>0</v>
      </c>
      <c r="P220" s="158">
        <f>INDEX('Budget by Source'!$A$6:$I$335,MATCH('Payment by Source'!$A220,'Budget by Source'!$A$6:$A$335,0),MATCH(P$3,'Budget by Source'!$A$5:$I$5,0))-(ROUND(INDEX('Budget by Source'!$A$6:$I$335,MATCH('Payment by Source'!$A220,'Budget by Source'!$A$6:$A$335,0),MATCH(P$3,'Budget by Source'!$A$5:$I$5,0))/10,0)*10)</f>
        <v>1</v>
      </c>
      <c r="Q220" s="158">
        <f>INDEX('Budget by Source'!$A$6:$I$335,MATCH('Payment by Source'!$A220,'Budget by Source'!$A$6:$A$335,0),MATCH(Q$3,'Budget by Source'!$A$5:$I$5,0))-(ROUND(INDEX('Budget by Source'!$A$6:$I$335,MATCH('Payment by Source'!$A220,'Budget by Source'!$A$6:$A$335,0),MATCH(Q$3,'Budget by Source'!$A$5:$I$5,0))/10,0)*10)</f>
        <v>-1</v>
      </c>
      <c r="R220" s="158">
        <f>INDEX('Budget by Source'!$A$6:$I$335,MATCH('Payment by Source'!$A220,'Budget by Source'!$A$6:$A$335,0),MATCH(R$3,'Budget by Source'!$A$5:$I$5,0))-(ROUND(INDEX('Budget by Source'!$A$6:$I$335,MATCH('Payment by Source'!$A220,'Budget by Source'!$A$6:$A$335,0),MATCH(R$3,'Budget by Source'!$A$5:$I$5,0))/10,0)*10)</f>
        <v>2</v>
      </c>
      <c r="S220" s="158">
        <f>INDEX('Budget by Source'!$A$6:$I$335,MATCH('Payment by Source'!$A220,'Budget by Source'!$A$6:$A$335,0),MATCH(S$3,'Budget by Source'!$A$5:$I$5,0))-(ROUND(INDEX('Budget by Source'!$A$6:$I$335,MATCH('Payment by Source'!$A220,'Budget by Source'!$A$6:$A$335,0),MATCH(S$3,'Budget by Source'!$A$5:$I$5,0))/10,0)*10)</f>
        <v>2</v>
      </c>
      <c r="T220" s="158">
        <f>INDEX('Budget by Source'!$A$6:$I$335,MATCH('Payment by Source'!$A220,'Budget by Source'!$A$6:$A$335,0),MATCH(T$3,'Budget by Source'!$A$5:$I$5,0))-(ROUND(INDEX('Budget by Source'!$A$6:$I$335,MATCH('Payment by Source'!$A220,'Budget by Source'!$A$6:$A$335,0),MATCH(T$3,'Budget by Source'!$A$5:$I$5,0))/10,0)*10)</f>
        <v>-2</v>
      </c>
      <c r="U220" s="159">
        <f>INDEX('Budget by Source'!$A$6:$I$335,MATCH('Payment by Source'!$A220,'Budget by Source'!$A$6:$A$335,0),MATCH(U$3,'Budget by Source'!$A$5:$I$5,0))</f>
        <v>795883</v>
      </c>
      <c r="V220" s="156">
        <f t="shared" si="10"/>
        <v>79588</v>
      </c>
      <c r="W220" s="156">
        <f t="shared" si="11"/>
        <v>795880</v>
      </c>
    </row>
    <row r="221" spans="1:23" x14ac:dyDescent="0.2">
      <c r="A221" s="23" t="str">
        <f>Data!B217</f>
        <v>4779</v>
      </c>
      <c r="B221" s="21" t="str">
        <f>INDEX(Data[],MATCH($A221,Data[Dist],0),MATCH(B$5,Data[#Headers],0))</f>
        <v>North Polk</v>
      </c>
      <c r="C221" s="22">
        <f>IF(Notes!$B$2="June",ROUND('Budget by Source'!C221/10,0)+P221,ROUND('Budget by Source'!C221/10,0))</f>
        <v>35525</v>
      </c>
      <c r="D221" s="22">
        <f>IF(Notes!$B$2="June",ROUND('Budget by Source'!D221/10,0)+Q221,ROUND('Budget by Source'!D221/10,0))</f>
        <v>90914</v>
      </c>
      <c r="E221" s="22">
        <f>IF(Notes!$B$2="June",ROUND('Budget by Source'!E221/10,0)+R221,ROUND('Budget by Source'!E221/10,0))</f>
        <v>9311</v>
      </c>
      <c r="F221" s="22">
        <f>IF(Notes!$B$2="June",ROUND('Budget by Source'!F221/10,0)+S221,ROUND('Budget by Source'!F221/10,0))</f>
        <v>9449</v>
      </c>
      <c r="G221" s="22">
        <f>IF(Notes!$B$2="June",ROUND('Budget by Source'!G221/10,0)+T221,ROUND('Budget by Source'!G221/10,0))</f>
        <v>54982</v>
      </c>
      <c r="H221" s="22">
        <f t="shared" si="9"/>
        <v>816953</v>
      </c>
      <c r="I221" s="22">
        <f>INDEX(Data[],MATCH($A221,Data[Dist],0),MATCH(I$5,Data[#Headers],0))</f>
        <v>1017134</v>
      </c>
      <c r="K221" s="70">
        <f>INDEX('Payment Total'!$A$7:$H$336,MATCH('Payment by Source'!$A221,'Payment Total'!$A$7:$A$336,0),6)-I221</f>
        <v>0</v>
      </c>
      <c r="P221" s="158">
        <f>INDEX('Budget by Source'!$A$6:$I$335,MATCH('Payment by Source'!$A221,'Budget by Source'!$A$6:$A$335,0),MATCH(P$3,'Budget by Source'!$A$5:$I$5,0))-(ROUND(INDEX('Budget by Source'!$A$6:$I$335,MATCH('Payment by Source'!$A221,'Budget by Source'!$A$6:$A$335,0),MATCH(P$3,'Budget by Source'!$A$5:$I$5,0))/10,0)*10)</f>
        <v>0</v>
      </c>
      <c r="Q221" s="158">
        <f>INDEX('Budget by Source'!$A$6:$I$335,MATCH('Payment by Source'!$A221,'Budget by Source'!$A$6:$A$335,0),MATCH(Q$3,'Budget by Source'!$A$5:$I$5,0))-(ROUND(INDEX('Budget by Source'!$A$6:$I$335,MATCH('Payment by Source'!$A221,'Budget by Source'!$A$6:$A$335,0),MATCH(Q$3,'Budget by Source'!$A$5:$I$5,0))/10,0)*10)</f>
        <v>4</v>
      </c>
      <c r="R221" s="158">
        <f>INDEX('Budget by Source'!$A$6:$I$335,MATCH('Payment by Source'!$A221,'Budget by Source'!$A$6:$A$335,0),MATCH(R$3,'Budget by Source'!$A$5:$I$5,0))-(ROUND(INDEX('Budget by Source'!$A$6:$I$335,MATCH('Payment by Source'!$A221,'Budget by Source'!$A$6:$A$335,0),MATCH(R$3,'Budget by Source'!$A$5:$I$5,0))/10,0)*10)</f>
        <v>-3</v>
      </c>
      <c r="S221" s="158">
        <f>INDEX('Budget by Source'!$A$6:$I$335,MATCH('Payment by Source'!$A221,'Budget by Source'!$A$6:$A$335,0),MATCH(S$3,'Budget by Source'!$A$5:$I$5,0))-(ROUND(INDEX('Budget by Source'!$A$6:$I$335,MATCH('Payment by Source'!$A221,'Budget by Source'!$A$6:$A$335,0),MATCH(S$3,'Budget by Source'!$A$5:$I$5,0))/10,0)*10)</f>
        <v>-3</v>
      </c>
      <c r="T221" s="158">
        <f>INDEX('Budget by Source'!$A$6:$I$335,MATCH('Payment by Source'!$A221,'Budget by Source'!$A$6:$A$335,0),MATCH(T$3,'Budget by Source'!$A$5:$I$5,0))-(ROUND(INDEX('Budget by Source'!$A$6:$I$335,MATCH('Payment by Source'!$A221,'Budget by Source'!$A$6:$A$335,0),MATCH(T$3,'Budget by Source'!$A$5:$I$5,0))/10,0)*10)</f>
        <v>3</v>
      </c>
      <c r="U221" s="159">
        <f>INDEX('Budget by Source'!$A$6:$I$335,MATCH('Payment by Source'!$A221,'Budget by Source'!$A$6:$A$335,0),MATCH(U$3,'Budget by Source'!$A$5:$I$5,0))</f>
        <v>8197591</v>
      </c>
      <c r="V221" s="156">
        <f t="shared" si="10"/>
        <v>819759</v>
      </c>
      <c r="W221" s="156">
        <f t="shared" si="11"/>
        <v>8197590</v>
      </c>
    </row>
    <row r="222" spans="1:23" x14ac:dyDescent="0.2">
      <c r="A222" s="23" t="str">
        <f>Data!B218</f>
        <v>4784</v>
      </c>
      <c r="B222" s="21" t="str">
        <f>INDEX(Data[],MATCH($A222,Data[Dist],0),MATCH(B$5,Data[#Headers],0))</f>
        <v>North Scott</v>
      </c>
      <c r="C222" s="22">
        <f>IF(Notes!$B$2="June",ROUND('Budget by Source'!C222/10,0)+P222,ROUND('Budget by Source'!C222/10,0))</f>
        <v>54629</v>
      </c>
      <c r="D222" s="22">
        <f>IF(Notes!$B$2="June",ROUND('Budget by Source'!D222/10,0)+Q222,ROUND('Budget by Source'!D222/10,0))</f>
        <v>173218</v>
      </c>
      <c r="E222" s="22">
        <f>IF(Notes!$B$2="June",ROUND('Budget by Source'!E222/10,0)+R222,ROUND('Budget by Source'!E222/10,0))</f>
        <v>18719</v>
      </c>
      <c r="F222" s="22">
        <f>IF(Notes!$B$2="June",ROUND('Budget by Source'!F222/10,0)+S222,ROUND('Budget by Source'!F222/10,0))</f>
        <v>19418</v>
      </c>
      <c r="G222" s="22">
        <f>IF(Notes!$B$2="June",ROUND('Budget by Source'!G222/10,0)+T222,ROUND('Budget by Source'!G222/10,0))</f>
        <v>99096</v>
      </c>
      <c r="H222" s="22">
        <f t="shared" si="9"/>
        <v>1346940</v>
      </c>
      <c r="I222" s="22">
        <f>INDEX(Data[],MATCH($A222,Data[Dist],0),MATCH(I$5,Data[#Headers],0))</f>
        <v>1712020</v>
      </c>
      <c r="K222" s="70">
        <f>INDEX('Payment Total'!$A$7:$H$336,MATCH('Payment by Source'!$A222,'Payment Total'!$A$7:$A$336,0),6)-I222</f>
        <v>0</v>
      </c>
      <c r="P222" s="158">
        <f>INDEX('Budget by Source'!$A$6:$I$335,MATCH('Payment by Source'!$A222,'Budget by Source'!$A$6:$A$335,0),MATCH(P$3,'Budget by Source'!$A$5:$I$5,0))-(ROUND(INDEX('Budget by Source'!$A$6:$I$335,MATCH('Payment by Source'!$A222,'Budget by Source'!$A$6:$A$335,0),MATCH(P$3,'Budget by Source'!$A$5:$I$5,0))/10,0)*10)</f>
        <v>1</v>
      </c>
      <c r="Q222" s="158">
        <f>INDEX('Budget by Source'!$A$6:$I$335,MATCH('Payment by Source'!$A222,'Budget by Source'!$A$6:$A$335,0),MATCH(Q$3,'Budget by Source'!$A$5:$I$5,0))-(ROUND(INDEX('Budget by Source'!$A$6:$I$335,MATCH('Payment by Source'!$A222,'Budget by Source'!$A$6:$A$335,0),MATCH(Q$3,'Budget by Source'!$A$5:$I$5,0))/10,0)*10)</f>
        <v>2</v>
      </c>
      <c r="R222" s="158">
        <f>INDEX('Budget by Source'!$A$6:$I$335,MATCH('Payment by Source'!$A222,'Budget by Source'!$A$6:$A$335,0),MATCH(R$3,'Budget by Source'!$A$5:$I$5,0))-(ROUND(INDEX('Budget by Source'!$A$6:$I$335,MATCH('Payment by Source'!$A222,'Budget by Source'!$A$6:$A$335,0),MATCH(R$3,'Budget by Source'!$A$5:$I$5,0))/10,0)*10)</f>
        <v>-5</v>
      </c>
      <c r="S222" s="158">
        <f>INDEX('Budget by Source'!$A$6:$I$335,MATCH('Payment by Source'!$A222,'Budget by Source'!$A$6:$A$335,0),MATCH(S$3,'Budget by Source'!$A$5:$I$5,0))-(ROUND(INDEX('Budget by Source'!$A$6:$I$335,MATCH('Payment by Source'!$A222,'Budget by Source'!$A$6:$A$335,0),MATCH(S$3,'Budget by Source'!$A$5:$I$5,0))/10,0)*10)</f>
        <v>-4</v>
      </c>
      <c r="T222" s="158">
        <f>INDEX('Budget by Source'!$A$6:$I$335,MATCH('Payment by Source'!$A222,'Budget by Source'!$A$6:$A$335,0),MATCH(T$3,'Budget by Source'!$A$5:$I$5,0))-(ROUND(INDEX('Budget by Source'!$A$6:$I$335,MATCH('Payment by Source'!$A222,'Budget by Source'!$A$6:$A$335,0),MATCH(T$3,'Budget by Source'!$A$5:$I$5,0))/10,0)*10)</f>
        <v>0</v>
      </c>
      <c r="U222" s="159">
        <f>INDEX('Budget by Source'!$A$6:$I$335,MATCH('Payment by Source'!$A222,'Budget by Source'!$A$6:$A$335,0),MATCH(U$3,'Budget by Source'!$A$5:$I$5,0))</f>
        <v>13519881</v>
      </c>
      <c r="V222" s="156">
        <f t="shared" si="10"/>
        <v>1351988</v>
      </c>
      <c r="W222" s="156">
        <f t="shared" si="11"/>
        <v>13519880</v>
      </c>
    </row>
    <row r="223" spans="1:23" x14ac:dyDescent="0.2">
      <c r="A223" s="23" t="str">
        <f>Data!B219</f>
        <v>4785</v>
      </c>
      <c r="B223" s="21" t="str">
        <f>INDEX(Data[],MATCH($A223,Data[Dist],0),MATCH(B$5,Data[#Headers],0))</f>
        <v>North Tama</v>
      </c>
      <c r="C223" s="22">
        <f>IF(Notes!$B$2="June",ROUND('Budget by Source'!C223/10,0)+P223,ROUND('Budget by Source'!C223/10,0))</f>
        <v>7038</v>
      </c>
      <c r="D223" s="22">
        <f>IF(Notes!$B$2="June",ROUND('Budget by Source'!D223/10,0)+Q223,ROUND('Budget by Source'!D223/10,0))</f>
        <v>28594</v>
      </c>
      <c r="E223" s="22">
        <f>IF(Notes!$B$2="June",ROUND('Budget by Source'!E223/10,0)+R223,ROUND('Budget by Source'!E223/10,0))</f>
        <v>2888</v>
      </c>
      <c r="F223" s="22">
        <f>IF(Notes!$B$2="June",ROUND('Budget by Source'!F223/10,0)+S223,ROUND('Budget by Source'!F223/10,0))</f>
        <v>3059</v>
      </c>
      <c r="G223" s="22">
        <f>IF(Notes!$B$2="June",ROUND('Budget by Source'!G223/10,0)+T223,ROUND('Budget by Source'!G223/10,0))</f>
        <v>14532</v>
      </c>
      <c r="H223" s="22">
        <f t="shared" si="9"/>
        <v>190869</v>
      </c>
      <c r="I223" s="22">
        <f>INDEX(Data[],MATCH($A223,Data[Dist],0),MATCH(I$5,Data[#Headers],0))</f>
        <v>246980</v>
      </c>
      <c r="K223" s="70">
        <f>INDEX('Payment Total'!$A$7:$H$336,MATCH('Payment by Source'!$A223,'Payment Total'!$A$7:$A$336,0),6)-I223</f>
        <v>0</v>
      </c>
      <c r="P223" s="158">
        <f>INDEX('Budget by Source'!$A$6:$I$335,MATCH('Payment by Source'!$A223,'Budget by Source'!$A$6:$A$335,0),MATCH(P$3,'Budget by Source'!$A$5:$I$5,0))-(ROUND(INDEX('Budget by Source'!$A$6:$I$335,MATCH('Payment by Source'!$A223,'Budget by Source'!$A$6:$A$335,0),MATCH(P$3,'Budget by Source'!$A$5:$I$5,0))/10,0)*10)</f>
        <v>0</v>
      </c>
      <c r="Q223" s="158">
        <f>INDEX('Budget by Source'!$A$6:$I$335,MATCH('Payment by Source'!$A223,'Budget by Source'!$A$6:$A$335,0),MATCH(Q$3,'Budget by Source'!$A$5:$I$5,0))-(ROUND(INDEX('Budget by Source'!$A$6:$I$335,MATCH('Payment by Source'!$A223,'Budget by Source'!$A$6:$A$335,0),MATCH(Q$3,'Budget by Source'!$A$5:$I$5,0))/10,0)*10)</f>
        <v>3</v>
      </c>
      <c r="R223" s="158">
        <f>INDEX('Budget by Source'!$A$6:$I$335,MATCH('Payment by Source'!$A223,'Budget by Source'!$A$6:$A$335,0),MATCH(R$3,'Budget by Source'!$A$5:$I$5,0))-(ROUND(INDEX('Budget by Source'!$A$6:$I$335,MATCH('Payment by Source'!$A223,'Budget by Source'!$A$6:$A$335,0),MATCH(R$3,'Budget by Source'!$A$5:$I$5,0))/10,0)*10)</f>
        <v>-4</v>
      </c>
      <c r="S223" s="158">
        <f>INDEX('Budget by Source'!$A$6:$I$335,MATCH('Payment by Source'!$A223,'Budget by Source'!$A$6:$A$335,0),MATCH(S$3,'Budget by Source'!$A$5:$I$5,0))-(ROUND(INDEX('Budget by Source'!$A$6:$I$335,MATCH('Payment by Source'!$A223,'Budget by Source'!$A$6:$A$335,0),MATCH(S$3,'Budget by Source'!$A$5:$I$5,0))/10,0)*10)</f>
        <v>2</v>
      </c>
      <c r="T223" s="158">
        <f>INDEX('Budget by Source'!$A$6:$I$335,MATCH('Payment by Source'!$A223,'Budget by Source'!$A$6:$A$335,0),MATCH(T$3,'Budget by Source'!$A$5:$I$5,0))-(ROUND(INDEX('Budget by Source'!$A$6:$I$335,MATCH('Payment by Source'!$A223,'Budget by Source'!$A$6:$A$335,0),MATCH(T$3,'Budget by Source'!$A$5:$I$5,0))/10,0)*10)</f>
        <v>3</v>
      </c>
      <c r="U223" s="159">
        <f>INDEX('Budget by Source'!$A$6:$I$335,MATCH('Payment by Source'!$A223,'Budget by Source'!$A$6:$A$335,0),MATCH(U$3,'Budget by Source'!$A$5:$I$5,0))</f>
        <v>1916150</v>
      </c>
      <c r="V223" s="156">
        <f t="shared" si="10"/>
        <v>191615</v>
      </c>
      <c r="W223" s="156">
        <f t="shared" si="11"/>
        <v>1916150</v>
      </c>
    </row>
    <row r="224" spans="1:23" x14ac:dyDescent="0.2">
      <c r="A224" s="23" t="str">
        <f>Data!B220</f>
        <v>4787</v>
      </c>
      <c r="B224" s="21" t="str">
        <f>INDEX(Data[],MATCH($A224,Data[Dist],0),MATCH(B$5,Data[#Headers],0))</f>
        <v>North Winneshiek</v>
      </c>
      <c r="C224" s="22">
        <f>IF(Notes!$B$2="June",ROUND('Budget by Source'!C224/10,0)+P224,ROUND('Budget by Source'!C224/10,0))</f>
        <v>2682</v>
      </c>
      <c r="D224" s="22">
        <f>IF(Notes!$B$2="June",ROUND('Budget by Source'!D224/10,0)+Q224,ROUND('Budget by Source'!D224/10,0))</f>
        <v>15289</v>
      </c>
      <c r="E224" s="22">
        <f>IF(Notes!$B$2="June",ROUND('Budget by Source'!E224/10,0)+R224,ROUND('Budget by Source'!E224/10,0))</f>
        <v>1973</v>
      </c>
      <c r="F224" s="22">
        <f>IF(Notes!$B$2="June",ROUND('Budget by Source'!F224/10,0)+S224,ROUND('Budget by Source'!F224/10,0))</f>
        <v>1394</v>
      </c>
      <c r="G224" s="22">
        <f>IF(Notes!$B$2="June",ROUND('Budget by Source'!G224/10,0)+T224,ROUND('Budget by Source'!G224/10,0))</f>
        <v>9160</v>
      </c>
      <c r="H224" s="22">
        <f t="shared" si="9"/>
        <v>107651</v>
      </c>
      <c r="I224" s="22">
        <f>INDEX(Data[],MATCH($A224,Data[Dist],0),MATCH(I$5,Data[#Headers],0))</f>
        <v>138149</v>
      </c>
      <c r="K224" s="70">
        <f>INDEX('Payment Total'!$A$7:$H$336,MATCH('Payment by Source'!$A224,'Payment Total'!$A$7:$A$336,0),6)-I224</f>
        <v>0</v>
      </c>
      <c r="P224" s="158">
        <f>INDEX('Budget by Source'!$A$6:$I$335,MATCH('Payment by Source'!$A224,'Budget by Source'!$A$6:$A$335,0),MATCH(P$3,'Budget by Source'!$A$5:$I$5,0))-(ROUND(INDEX('Budget by Source'!$A$6:$I$335,MATCH('Payment by Source'!$A224,'Budget by Source'!$A$6:$A$335,0),MATCH(P$3,'Budget by Source'!$A$5:$I$5,0))/10,0)*10)</f>
        <v>1</v>
      </c>
      <c r="Q224" s="158">
        <f>INDEX('Budget by Source'!$A$6:$I$335,MATCH('Payment by Source'!$A224,'Budget by Source'!$A$6:$A$335,0),MATCH(Q$3,'Budget by Source'!$A$5:$I$5,0))-(ROUND(INDEX('Budget by Source'!$A$6:$I$335,MATCH('Payment by Source'!$A224,'Budget by Source'!$A$6:$A$335,0),MATCH(Q$3,'Budget by Source'!$A$5:$I$5,0))/10,0)*10)</f>
        <v>3</v>
      </c>
      <c r="R224" s="158">
        <f>INDEX('Budget by Source'!$A$6:$I$335,MATCH('Payment by Source'!$A224,'Budget by Source'!$A$6:$A$335,0),MATCH(R$3,'Budget by Source'!$A$5:$I$5,0))-(ROUND(INDEX('Budget by Source'!$A$6:$I$335,MATCH('Payment by Source'!$A224,'Budget by Source'!$A$6:$A$335,0),MATCH(R$3,'Budget by Source'!$A$5:$I$5,0))/10,0)*10)</f>
        <v>-4</v>
      </c>
      <c r="S224" s="158">
        <f>INDEX('Budget by Source'!$A$6:$I$335,MATCH('Payment by Source'!$A224,'Budget by Source'!$A$6:$A$335,0),MATCH(S$3,'Budget by Source'!$A$5:$I$5,0))-(ROUND(INDEX('Budget by Source'!$A$6:$I$335,MATCH('Payment by Source'!$A224,'Budget by Source'!$A$6:$A$335,0),MATCH(S$3,'Budget by Source'!$A$5:$I$5,0))/10,0)*10)</f>
        <v>-2</v>
      </c>
      <c r="T224" s="158">
        <f>INDEX('Budget by Source'!$A$6:$I$335,MATCH('Payment by Source'!$A224,'Budget by Source'!$A$6:$A$335,0),MATCH(T$3,'Budget by Source'!$A$5:$I$5,0))-(ROUND(INDEX('Budget by Source'!$A$6:$I$335,MATCH('Payment by Source'!$A224,'Budget by Source'!$A$6:$A$335,0),MATCH(T$3,'Budget by Source'!$A$5:$I$5,0))/10,0)*10)</f>
        <v>2</v>
      </c>
      <c r="U224" s="159">
        <f>INDEX('Budget by Source'!$A$6:$I$335,MATCH('Payment by Source'!$A224,'Budget by Source'!$A$6:$A$335,0),MATCH(U$3,'Budget by Source'!$A$5:$I$5,0))</f>
        <v>1081120</v>
      </c>
      <c r="V224" s="156">
        <f t="shared" si="10"/>
        <v>108112</v>
      </c>
      <c r="W224" s="156">
        <f t="shared" si="11"/>
        <v>1081120</v>
      </c>
    </row>
    <row r="225" spans="1:23" x14ac:dyDescent="0.2">
      <c r="A225" s="23" t="str">
        <f>Data!B221</f>
        <v>4788</v>
      </c>
      <c r="B225" s="21" t="str">
        <f>INDEX(Data[],MATCH($A225,Data[Dist],0),MATCH(B$5,Data[#Headers],0))</f>
        <v>Northwood-Kensett</v>
      </c>
      <c r="C225" s="22">
        <f>IF(Notes!$B$2="June",ROUND('Budget by Source'!C225/10,0)+P225,ROUND('Budget by Source'!C225/10,0))</f>
        <v>11730</v>
      </c>
      <c r="D225" s="22">
        <f>IF(Notes!$B$2="June",ROUND('Budget by Source'!D225/10,0)+Q225,ROUND('Budget by Source'!D225/10,0))</f>
        <v>29210</v>
      </c>
      <c r="E225" s="22">
        <f>IF(Notes!$B$2="June",ROUND('Budget by Source'!E225/10,0)+R225,ROUND('Budget by Source'!E225/10,0))</f>
        <v>2880</v>
      </c>
      <c r="F225" s="22">
        <f>IF(Notes!$B$2="June",ROUND('Budget by Source'!F225/10,0)+S225,ROUND('Budget by Source'!F225/10,0))</f>
        <v>3349</v>
      </c>
      <c r="G225" s="22">
        <f>IF(Notes!$B$2="June",ROUND('Budget by Source'!G225/10,0)+T225,ROUND('Budget by Source'!G225/10,0))</f>
        <v>16585</v>
      </c>
      <c r="H225" s="22">
        <f t="shared" si="9"/>
        <v>210263</v>
      </c>
      <c r="I225" s="22">
        <f>INDEX(Data[],MATCH($A225,Data[Dist],0),MATCH(I$5,Data[#Headers],0))</f>
        <v>274017</v>
      </c>
      <c r="K225" s="70">
        <f>INDEX('Payment Total'!$A$7:$H$336,MATCH('Payment by Source'!$A225,'Payment Total'!$A$7:$A$336,0),6)-I225</f>
        <v>0</v>
      </c>
      <c r="P225" s="158">
        <f>INDEX('Budget by Source'!$A$6:$I$335,MATCH('Payment by Source'!$A225,'Budget by Source'!$A$6:$A$335,0),MATCH(P$3,'Budget by Source'!$A$5:$I$5,0))-(ROUND(INDEX('Budget by Source'!$A$6:$I$335,MATCH('Payment by Source'!$A225,'Budget by Source'!$A$6:$A$335,0),MATCH(P$3,'Budget by Source'!$A$5:$I$5,0))/10,0)*10)</f>
        <v>0</v>
      </c>
      <c r="Q225" s="158">
        <f>INDEX('Budget by Source'!$A$6:$I$335,MATCH('Payment by Source'!$A225,'Budget by Source'!$A$6:$A$335,0),MATCH(Q$3,'Budget by Source'!$A$5:$I$5,0))-(ROUND(INDEX('Budget by Source'!$A$6:$I$335,MATCH('Payment by Source'!$A225,'Budget by Source'!$A$6:$A$335,0),MATCH(Q$3,'Budget by Source'!$A$5:$I$5,0))/10,0)*10)</f>
        <v>1</v>
      </c>
      <c r="R225" s="158">
        <f>INDEX('Budget by Source'!$A$6:$I$335,MATCH('Payment by Source'!$A225,'Budget by Source'!$A$6:$A$335,0),MATCH(R$3,'Budget by Source'!$A$5:$I$5,0))-(ROUND(INDEX('Budget by Source'!$A$6:$I$335,MATCH('Payment by Source'!$A225,'Budget by Source'!$A$6:$A$335,0),MATCH(R$3,'Budget by Source'!$A$5:$I$5,0))/10,0)*10)</f>
        <v>-5</v>
      </c>
      <c r="S225" s="158">
        <f>INDEX('Budget by Source'!$A$6:$I$335,MATCH('Payment by Source'!$A225,'Budget by Source'!$A$6:$A$335,0),MATCH(S$3,'Budget by Source'!$A$5:$I$5,0))-(ROUND(INDEX('Budget by Source'!$A$6:$I$335,MATCH('Payment by Source'!$A225,'Budget by Source'!$A$6:$A$335,0),MATCH(S$3,'Budget by Source'!$A$5:$I$5,0))/10,0)*10)</f>
        <v>3</v>
      </c>
      <c r="T225" s="158">
        <f>INDEX('Budget by Source'!$A$6:$I$335,MATCH('Payment by Source'!$A225,'Budget by Source'!$A$6:$A$335,0),MATCH(T$3,'Budget by Source'!$A$5:$I$5,0))-(ROUND(INDEX('Budget by Source'!$A$6:$I$335,MATCH('Payment by Source'!$A225,'Budget by Source'!$A$6:$A$335,0),MATCH(T$3,'Budget by Source'!$A$5:$I$5,0))/10,0)*10)</f>
        <v>-5</v>
      </c>
      <c r="U225" s="159">
        <f>INDEX('Budget by Source'!$A$6:$I$335,MATCH('Payment by Source'!$A225,'Budget by Source'!$A$6:$A$335,0),MATCH(U$3,'Budget by Source'!$A$5:$I$5,0))</f>
        <v>2111045</v>
      </c>
      <c r="V225" s="156">
        <f t="shared" si="10"/>
        <v>211105</v>
      </c>
      <c r="W225" s="156">
        <f t="shared" si="11"/>
        <v>2111050</v>
      </c>
    </row>
    <row r="226" spans="1:23" x14ac:dyDescent="0.2">
      <c r="A226" s="23" t="str">
        <f>Data!B222</f>
        <v>4797</v>
      </c>
      <c r="B226" s="21" t="str">
        <f>INDEX(Data[],MATCH($A226,Data[Dist],0),MATCH(B$5,Data[#Headers],0))</f>
        <v>Norwalk</v>
      </c>
      <c r="C226" s="22">
        <f>IF(Notes!$B$2="June",ROUND('Budget by Source'!C226/10,0)+P226,ROUND('Budget by Source'!C226/10,0))</f>
        <v>41226</v>
      </c>
      <c r="D226" s="22">
        <f>IF(Notes!$B$2="June",ROUND('Budget by Source'!D226/10,0)+Q226,ROUND('Budget by Source'!D226/10,0))</f>
        <v>165800</v>
      </c>
      <c r="E226" s="22">
        <f>IF(Notes!$B$2="June",ROUND('Budget by Source'!E226/10,0)+R226,ROUND('Budget by Source'!E226/10,0))</f>
        <v>17324</v>
      </c>
      <c r="F226" s="22">
        <f>IF(Notes!$B$2="June",ROUND('Budget by Source'!F226/10,0)+S226,ROUND('Budget by Source'!F226/10,0))</f>
        <v>17361</v>
      </c>
      <c r="G226" s="22">
        <f>IF(Notes!$B$2="June",ROUND('Budget by Source'!G226/10,0)+T226,ROUND('Budget by Source'!G226/10,0))</f>
        <v>92436</v>
      </c>
      <c r="H226" s="22">
        <f t="shared" si="9"/>
        <v>1621871</v>
      </c>
      <c r="I226" s="22">
        <f>INDEX(Data[],MATCH($A226,Data[Dist],0),MATCH(I$5,Data[#Headers],0))</f>
        <v>1956018</v>
      </c>
      <c r="K226" s="70">
        <f>INDEX('Payment Total'!$A$7:$H$336,MATCH('Payment by Source'!$A226,'Payment Total'!$A$7:$A$336,0),6)-I226</f>
        <v>0</v>
      </c>
      <c r="P226" s="158">
        <f>INDEX('Budget by Source'!$A$6:$I$335,MATCH('Payment by Source'!$A226,'Budget by Source'!$A$6:$A$335,0),MATCH(P$3,'Budget by Source'!$A$5:$I$5,0))-(ROUND(INDEX('Budget by Source'!$A$6:$I$335,MATCH('Payment by Source'!$A226,'Budget by Source'!$A$6:$A$335,0),MATCH(P$3,'Budget by Source'!$A$5:$I$5,0))/10,0)*10)</f>
        <v>4</v>
      </c>
      <c r="Q226" s="158">
        <f>INDEX('Budget by Source'!$A$6:$I$335,MATCH('Payment by Source'!$A226,'Budget by Source'!$A$6:$A$335,0),MATCH(Q$3,'Budget by Source'!$A$5:$I$5,0))-(ROUND(INDEX('Budget by Source'!$A$6:$I$335,MATCH('Payment by Source'!$A226,'Budget by Source'!$A$6:$A$335,0),MATCH(Q$3,'Budget by Source'!$A$5:$I$5,0))/10,0)*10)</f>
        <v>-4</v>
      </c>
      <c r="R226" s="158">
        <f>INDEX('Budget by Source'!$A$6:$I$335,MATCH('Payment by Source'!$A226,'Budget by Source'!$A$6:$A$335,0),MATCH(R$3,'Budget by Source'!$A$5:$I$5,0))-(ROUND(INDEX('Budget by Source'!$A$6:$I$335,MATCH('Payment by Source'!$A226,'Budget by Source'!$A$6:$A$335,0),MATCH(R$3,'Budget by Source'!$A$5:$I$5,0))/10,0)*10)</f>
        <v>3</v>
      </c>
      <c r="S226" s="158">
        <f>INDEX('Budget by Source'!$A$6:$I$335,MATCH('Payment by Source'!$A226,'Budget by Source'!$A$6:$A$335,0),MATCH(S$3,'Budget by Source'!$A$5:$I$5,0))-(ROUND(INDEX('Budget by Source'!$A$6:$I$335,MATCH('Payment by Source'!$A226,'Budget by Source'!$A$6:$A$335,0),MATCH(S$3,'Budget by Source'!$A$5:$I$5,0))/10,0)*10)</f>
        <v>-3</v>
      </c>
      <c r="T226" s="158">
        <f>INDEX('Budget by Source'!$A$6:$I$335,MATCH('Payment by Source'!$A226,'Budget by Source'!$A$6:$A$335,0),MATCH(T$3,'Budget by Source'!$A$5:$I$5,0))-(ROUND(INDEX('Budget by Source'!$A$6:$I$335,MATCH('Payment by Source'!$A226,'Budget by Source'!$A$6:$A$335,0),MATCH(T$3,'Budget by Source'!$A$5:$I$5,0))/10,0)*10)</f>
        <v>-3</v>
      </c>
      <c r="U226" s="159">
        <f>INDEX('Budget by Source'!$A$6:$I$335,MATCH('Payment by Source'!$A226,'Budget by Source'!$A$6:$A$335,0),MATCH(U$3,'Budget by Source'!$A$5:$I$5,0))</f>
        <v>16265824</v>
      </c>
      <c r="V226" s="156">
        <f t="shared" si="10"/>
        <v>1626582</v>
      </c>
      <c r="W226" s="156">
        <f t="shared" si="11"/>
        <v>16265820</v>
      </c>
    </row>
    <row r="227" spans="1:23" x14ac:dyDescent="0.2">
      <c r="A227" s="23" t="str">
        <f>Data!B223</f>
        <v>4824</v>
      </c>
      <c r="B227" s="21" t="str">
        <f>INDEX(Data[],MATCH($A227,Data[Dist],0),MATCH(B$5,Data[#Headers],0))</f>
        <v>Riverside</v>
      </c>
      <c r="C227" s="22">
        <f>IF(Notes!$B$2="June",ROUND('Budget by Source'!C227/10,0)+P227,ROUND('Budget by Source'!C227/10,0))</f>
        <v>16085</v>
      </c>
      <c r="D227" s="22">
        <f>IF(Notes!$B$2="June",ROUND('Budget by Source'!D227/10,0)+Q227,ROUND('Budget by Source'!D227/10,0))</f>
        <v>40575</v>
      </c>
      <c r="E227" s="22">
        <f>IF(Notes!$B$2="June",ROUND('Budget by Source'!E227/10,0)+R227,ROUND('Budget by Source'!E227/10,0))</f>
        <v>4123</v>
      </c>
      <c r="F227" s="22">
        <f>IF(Notes!$B$2="June",ROUND('Budget by Source'!F227/10,0)+S227,ROUND('Budget by Source'!F227/10,0))</f>
        <v>4395</v>
      </c>
      <c r="G227" s="22">
        <f>IF(Notes!$B$2="June",ROUND('Budget by Source'!G227/10,0)+T227,ROUND('Budget by Source'!G227/10,0))</f>
        <v>22760</v>
      </c>
      <c r="H227" s="22">
        <f t="shared" si="9"/>
        <v>265285</v>
      </c>
      <c r="I227" s="22">
        <f>INDEX(Data[],MATCH($A227,Data[Dist],0),MATCH(I$5,Data[#Headers],0))</f>
        <v>353223</v>
      </c>
      <c r="K227" s="70">
        <f>INDEX('Payment Total'!$A$7:$H$336,MATCH('Payment by Source'!$A227,'Payment Total'!$A$7:$A$336,0),6)-I227</f>
        <v>0</v>
      </c>
      <c r="P227" s="158">
        <f>INDEX('Budget by Source'!$A$6:$I$335,MATCH('Payment by Source'!$A227,'Budget by Source'!$A$6:$A$335,0),MATCH(P$3,'Budget by Source'!$A$5:$I$5,0))-(ROUND(INDEX('Budget by Source'!$A$6:$I$335,MATCH('Payment by Source'!$A227,'Budget by Source'!$A$6:$A$335,0),MATCH(P$3,'Budget by Source'!$A$5:$I$5,0))/10,0)*10)</f>
        <v>-2</v>
      </c>
      <c r="Q227" s="158">
        <f>INDEX('Budget by Source'!$A$6:$I$335,MATCH('Payment by Source'!$A227,'Budget by Source'!$A$6:$A$335,0),MATCH(Q$3,'Budget by Source'!$A$5:$I$5,0))-(ROUND(INDEX('Budget by Source'!$A$6:$I$335,MATCH('Payment by Source'!$A227,'Budget by Source'!$A$6:$A$335,0),MATCH(Q$3,'Budget by Source'!$A$5:$I$5,0))/10,0)*10)</f>
        <v>-4</v>
      </c>
      <c r="R227" s="158">
        <f>INDEX('Budget by Source'!$A$6:$I$335,MATCH('Payment by Source'!$A227,'Budget by Source'!$A$6:$A$335,0),MATCH(R$3,'Budget by Source'!$A$5:$I$5,0))-(ROUND(INDEX('Budget by Source'!$A$6:$I$335,MATCH('Payment by Source'!$A227,'Budget by Source'!$A$6:$A$335,0),MATCH(R$3,'Budget by Source'!$A$5:$I$5,0))/10,0)*10)</f>
        <v>2</v>
      </c>
      <c r="S227" s="158">
        <f>INDEX('Budget by Source'!$A$6:$I$335,MATCH('Payment by Source'!$A227,'Budget by Source'!$A$6:$A$335,0),MATCH(S$3,'Budget by Source'!$A$5:$I$5,0))-(ROUND(INDEX('Budget by Source'!$A$6:$I$335,MATCH('Payment by Source'!$A227,'Budget by Source'!$A$6:$A$335,0),MATCH(S$3,'Budget by Source'!$A$5:$I$5,0))/10,0)*10)</f>
        <v>3</v>
      </c>
      <c r="T227" s="158">
        <f>INDEX('Budget by Source'!$A$6:$I$335,MATCH('Payment by Source'!$A227,'Budget by Source'!$A$6:$A$335,0),MATCH(T$3,'Budget by Source'!$A$5:$I$5,0))-(ROUND(INDEX('Budget by Source'!$A$6:$I$335,MATCH('Payment by Source'!$A227,'Budget by Source'!$A$6:$A$335,0),MATCH(T$3,'Budget by Source'!$A$5:$I$5,0))/10,0)*10)</f>
        <v>2</v>
      </c>
      <c r="U227" s="159">
        <f>INDEX('Budget by Source'!$A$6:$I$335,MATCH('Payment by Source'!$A227,'Budget by Source'!$A$6:$A$335,0),MATCH(U$3,'Budget by Source'!$A$5:$I$5,0))</f>
        <v>2664358</v>
      </c>
      <c r="V227" s="156">
        <f t="shared" si="10"/>
        <v>266436</v>
      </c>
      <c r="W227" s="156">
        <f t="shared" si="11"/>
        <v>2664360</v>
      </c>
    </row>
    <row r="228" spans="1:23" x14ac:dyDescent="0.2">
      <c r="A228" s="23" t="str">
        <f>Data!B224</f>
        <v>4860</v>
      </c>
      <c r="B228" s="21" t="str">
        <f>INDEX(Data[],MATCH($A228,Data[Dist],0),MATCH(B$5,Data[#Headers],0))</f>
        <v>Odebolt Arthur Battle Creek Ida Gr</v>
      </c>
      <c r="C228" s="22">
        <f>IF(Notes!$B$2="June",ROUND('Budget by Source'!C228/10,0)+P228,ROUND('Budget by Source'!C228/10,0))</f>
        <v>18094</v>
      </c>
      <c r="D228" s="22">
        <f>IF(Notes!$B$2="June",ROUND('Budget by Source'!D228/10,0)+Q228,ROUND('Budget by Source'!D228/10,0))</f>
        <v>60701</v>
      </c>
      <c r="E228" s="22">
        <f>IF(Notes!$B$2="June",ROUND('Budget by Source'!E228/10,0)+R228,ROUND('Budget by Source'!E228/10,0))</f>
        <v>6480</v>
      </c>
      <c r="F228" s="22">
        <f>IF(Notes!$B$2="June",ROUND('Budget by Source'!F228/10,0)+S228,ROUND('Budget by Source'!F228/10,0))</f>
        <v>7028</v>
      </c>
      <c r="G228" s="22">
        <f>IF(Notes!$B$2="June",ROUND('Budget by Source'!G228/10,0)+T228,ROUND('Budget by Source'!G228/10,0))</f>
        <v>31948</v>
      </c>
      <c r="H228" s="22">
        <f t="shared" si="9"/>
        <v>448468</v>
      </c>
      <c r="I228" s="22">
        <f>INDEX(Data[],MATCH($A228,Data[Dist],0),MATCH(I$5,Data[#Headers],0))</f>
        <v>572719</v>
      </c>
      <c r="K228" s="70">
        <f>INDEX('Payment Total'!$A$7:$H$336,MATCH('Payment by Source'!$A228,'Payment Total'!$A$7:$A$336,0),6)-I228</f>
        <v>0</v>
      </c>
      <c r="P228" s="158">
        <f>INDEX('Budget by Source'!$A$6:$I$335,MATCH('Payment by Source'!$A228,'Budget by Source'!$A$6:$A$335,0),MATCH(P$3,'Budget by Source'!$A$5:$I$5,0))-(ROUND(INDEX('Budget by Source'!$A$6:$I$335,MATCH('Payment by Source'!$A228,'Budget by Source'!$A$6:$A$335,0),MATCH(P$3,'Budget by Source'!$A$5:$I$5,0))/10,0)*10)</f>
        <v>-4</v>
      </c>
      <c r="Q228" s="158">
        <f>INDEX('Budget by Source'!$A$6:$I$335,MATCH('Payment by Source'!$A228,'Budget by Source'!$A$6:$A$335,0),MATCH(Q$3,'Budget by Source'!$A$5:$I$5,0))-(ROUND(INDEX('Budget by Source'!$A$6:$I$335,MATCH('Payment by Source'!$A228,'Budget by Source'!$A$6:$A$335,0),MATCH(Q$3,'Budget by Source'!$A$5:$I$5,0))/10,0)*10)</f>
        <v>3</v>
      </c>
      <c r="R228" s="158">
        <f>INDEX('Budget by Source'!$A$6:$I$335,MATCH('Payment by Source'!$A228,'Budget by Source'!$A$6:$A$335,0),MATCH(R$3,'Budget by Source'!$A$5:$I$5,0))-(ROUND(INDEX('Budget by Source'!$A$6:$I$335,MATCH('Payment by Source'!$A228,'Budget by Source'!$A$6:$A$335,0),MATCH(R$3,'Budget by Source'!$A$5:$I$5,0))/10,0)*10)</f>
        <v>-5</v>
      </c>
      <c r="S228" s="158">
        <f>INDEX('Budget by Source'!$A$6:$I$335,MATCH('Payment by Source'!$A228,'Budget by Source'!$A$6:$A$335,0),MATCH(S$3,'Budget by Source'!$A$5:$I$5,0))-(ROUND(INDEX('Budget by Source'!$A$6:$I$335,MATCH('Payment by Source'!$A228,'Budget by Source'!$A$6:$A$335,0),MATCH(S$3,'Budget by Source'!$A$5:$I$5,0))/10,0)*10)</f>
        <v>-5</v>
      </c>
      <c r="T228" s="158">
        <f>INDEX('Budget by Source'!$A$6:$I$335,MATCH('Payment by Source'!$A228,'Budget by Source'!$A$6:$A$335,0),MATCH(T$3,'Budget by Source'!$A$5:$I$5,0))-(ROUND(INDEX('Budget by Source'!$A$6:$I$335,MATCH('Payment by Source'!$A228,'Budget by Source'!$A$6:$A$335,0),MATCH(T$3,'Budget by Source'!$A$5:$I$5,0))/10,0)*10)</f>
        <v>0</v>
      </c>
      <c r="U228" s="159">
        <f>INDEX('Budget by Source'!$A$6:$I$335,MATCH('Payment by Source'!$A228,'Budget by Source'!$A$6:$A$335,0),MATCH(U$3,'Budget by Source'!$A$5:$I$5,0))</f>
        <v>4500874</v>
      </c>
      <c r="V228" s="156">
        <f t="shared" si="10"/>
        <v>450087</v>
      </c>
      <c r="W228" s="156">
        <f t="shared" si="11"/>
        <v>4500870</v>
      </c>
    </row>
    <row r="229" spans="1:23" x14ac:dyDescent="0.2">
      <c r="A229" s="23" t="str">
        <f>Data!B225</f>
        <v>4869</v>
      </c>
      <c r="B229" s="21" t="str">
        <f>INDEX(Data[],MATCH($A229,Data[Dist],0),MATCH(B$5,Data[#Headers],0))</f>
        <v>Oelwein</v>
      </c>
      <c r="C229" s="22">
        <f>IF(Notes!$B$2="June",ROUND('Budget by Source'!C229/10,0)+P229,ROUND('Budget by Source'!C229/10,0))</f>
        <v>18094</v>
      </c>
      <c r="D229" s="22">
        <f>IF(Notes!$B$2="June",ROUND('Budget by Source'!D229/10,0)+Q229,ROUND('Budget by Source'!D229/10,0))</f>
        <v>74716</v>
      </c>
      <c r="E229" s="22">
        <f>IF(Notes!$B$2="June",ROUND('Budget by Source'!E229/10,0)+R229,ROUND('Budget by Source'!E229/10,0))</f>
        <v>8712</v>
      </c>
      <c r="F229" s="22">
        <f>IF(Notes!$B$2="June",ROUND('Budget by Source'!F229/10,0)+S229,ROUND('Budget by Source'!F229/10,0))</f>
        <v>8580</v>
      </c>
      <c r="G229" s="22">
        <f>IF(Notes!$B$2="June",ROUND('Budget by Source'!G229/10,0)+T229,ROUND('Budget by Source'!G229/10,0))</f>
        <v>41447</v>
      </c>
      <c r="H229" s="22">
        <f t="shared" si="9"/>
        <v>729724</v>
      </c>
      <c r="I229" s="22">
        <f>INDEX(Data[],MATCH($A229,Data[Dist],0),MATCH(I$5,Data[#Headers],0))</f>
        <v>881273</v>
      </c>
      <c r="K229" s="70">
        <f>INDEX('Payment Total'!$A$7:$H$336,MATCH('Payment by Source'!$A229,'Payment Total'!$A$7:$A$336,0),6)-I229</f>
        <v>0</v>
      </c>
      <c r="P229" s="158">
        <f>INDEX('Budget by Source'!$A$6:$I$335,MATCH('Payment by Source'!$A229,'Budget by Source'!$A$6:$A$335,0),MATCH(P$3,'Budget by Source'!$A$5:$I$5,0))-(ROUND(INDEX('Budget by Source'!$A$6:$I$335,MATCH('Payment by Source'!$A229,'Budget by Source'!$A$6:$A$335,0),MATCH(P$3,'Budget by Source'!$A$5:$I$5,0))/10,0)*10)</f>
        <v>-4</v>
      </c>
      <c r="Q229" s="158">
        <f>INDEX('Budget by Source'!$A$6:$I$335,MATCH('Payment by Source'!$A229,'Budget by Source'!$A$6:$A$335,0),MATCH(Q$3,'Budget by Source'!$A$5:$I$5,0))-(ROUND(INDEX('Budget by Source'!$A$6:$I$335,MATCH('Payment by Source'!$A229,'Budget by Source'!$A$6:$A$335,0),MATCH(Q$3,'Budget by Source'!$A$5:$I$5,0))/10,0)*10)</f>
        <v>1</v>
      </c>
      <c r="R229" s="158">
        <f>INDEX('Budget by Source'!$A$6:$I$335,MATCH('Payment by Source'!$A229,'Budget by Source'!$A$6:$A$335,0),MATCH(R$3,'Budget by Source'!$A$5:$I$5,0))-(ROUND(INDEX('Budget by Source'!$A$6:$I$335,MATCH('Payment by Source'!$A229,'Budget by Source'!$A$6:$A$335,0),MATCH(R$3,'Budget by Source'!$A$5:$I$5,0))/10,0)*10)</f>
        <v>-2</v>
      </c>
      <c r="S229" s="158">
        <f>INDEX('Budget by Source'!$A$6:$I$335,MATCH('Payment by Source'!$A229,'Budget by Source'!$A$6:$A$335,0),MATCH(S$3,'Budget by Source'!$A$5:$I$5,0))-(ROUND(INDEX('Budget by Source'!$A$6:$I$335,MATCH('Payment by Source'!$A229,'Budget by Source'!$A$6:$A$335,0),MATCH(S$3,'Budget by Source'!$A$5:$I$5,0))/10,0)*10)</f>
        <v>-2</v>
      </c>
      <c r="T229" s="158">
        <f>INDEX('Budget by Source'!$A$6:$I$335,MATCH('Payment by Source'!$A229,'Budget by Source'!$A$6:$A$335,0),MATCH(T$3,'Budget by Source'!$A$5:$I$5,0))-(ROUND(INDEX('Budget by Source'!$A$6:$I$335,MATCH('Payment by Source'!$A229,'Budget by Source'!$A$6:$A$335,0),MATCH(T$3,'Budget by Source'!$A$5:$I$5,0))/10,0)*10)</f>
        <v>-3</v>
      </c>
      <c r="U229" s="159">
        <f>INDEX('Budget by Source'!$A$6:$I$335,MATCH('Payment by Source'!$A229,'Budget by Source'!$A$6:$A$335,0),MATCH(U$3,'Budget by Source'!$A$5:$I$5,0))</f>
        <v>7318045</v>
      </c>
      <c r="V229" s="156">
        <f t="shared" si="10"/>
        <v>731805</v>
      </c>
      <c r="W229" s="156">
        <f t="shared" si="11"/>
        <v>7318050</v>
      </c>
    </row>
    <row r="230" spans="1:23" x14ac:dyDescent="0.2">
      <c r="A230" s="23" t="str">
        <f>Data!B226</f>
        <v>4878</v>
      </c>
      <c r="B230" s="21" t="str">
        <f>INDEX(Data[],MATCH($A230,Data[Dist],0),MATCH(B$5,Data[#Headers],0))</f>
        <v>Ogden</v>
      </c>
      <c r="C230" s="22">
        <f>IF(Notes!$B$2="June",ROUND('Budget by Source'!C230/10,0)+P230,ROUND('Budget by Source'!C230/10,0))</f>
        <v>11057</v>
      </c>
      <c r="D230" s="22">
        <f>IF(Notes!$B$2="June",ROUND('Budget by Source'!D230/10,0)+Q230,ROUND('Budget by Source'!D230/10,0))</f>
        <v>37669</v>
      </c>
      <c r="E230" s="22">
        <f>IF(Notes!$B$2="June",ROUND('Budget by Source'!E230/10,0)+R230,ROUND('Budget by Source'!E230/10,0))</f>
        <v>4020</v>
      </c>
      <c r="F230" s="22">
        <f>IF(Notes!$B$2="June",ROUND('Budget by Source'!F230/10,0)+S230,ROUND('Budget by Source'!F230/10,0))</f>
        <v>4091</v>
      </c>
      <c r="G230" s="22">
        <f>IF(Notes!$B$2="June",ROUND('Budget by Source'!G230/10,0)+T230,ROUND('Budget by Source'!G230/10,0))</f>
        <v>20384</v>
      </c>
      <c r="H230" s="22">
        <f t="shared" si="9"/>
        <v>270914</v>
      </c>
      <c r="I230" s="22">
        <f>INDEX(Data[],MATCH($A230,Data[Dist],0),MATCH(I$5,Data[#Headers],0))</f>
        <v>348135</v>
      </c>
      <c r="K230" s="70">
        <f>INDEX('Payment Total'!$A$7:$H$336,MATCH('Payment by Source'!$A230,'Payment Total'!$A$7:$A$336,0),6)-I230</f>
        <v>0</v>
      </c>
      <c r="P230" s="158">
        <f>INDEX('Budget by Source'!$A$6:$I$335,MATCH('Payment by Source'!$A230,'Budget by Source'!$A$6:$A$335,0),MATCH(P$3,'Budget by Source'!$A$5:$I$5,0))-(ROUND(INDEX('Budget by Source'!$A$6:$I$335,MATCH('Payment by Source'!$A230,'Budget by Source'!$A$6:$A$335,0),MATCH(P$3,'Budget by Source'!$A$5:$I$5,0))/10,0)*10)</f>
        <v>-3</v>
      </c>
      <c r="Q230" s="158">
        <f>INDEX('Budget by Source'!$A$6:$I$335,MATCH('Payment by Source'!$A230,'Budget by Source'!$A$6:$A$335,0),MATCH(Q$3,'Budget by Source'!$A$5:$I$5,0))-(ROUND(INDEX('Budget by Source'!$A$6:$I$335,MATCH('Payment by Source'!$A230,'Budget by Source'!$A$6:$A$335,0),MATCH(Q$3,'Budget by Source'!$A$5:$I$5,0))/10,0)*10)</f>
        <v>4</v>
      </c>
      <c r="R230" s="158">
        <f>INDEX('Budget by Source'!$A$6:$I$335,MATCH('Payment by Source'!$A230,'Budget by Source'!$A$6:$A$335,0),MATCH(R$3,'Budget by Source'!$A$5:$I$5,0))-(ROUND(INDEX('Budget by Source'!$A$6:$I$335,MATCH('Payment by Source'!$A230,'Budget by Source'!$A$6:$A$335,0),MATCH(R$3,'Budget by Source'!$A$5:$I$5,0))/10,0)*10)</f>
        <v>-5</v>
      </c>
      <c r="S230" s="158">
        <f>INDEX('Budget by Source'!$A$6:$I$335,MATCH('Payment by Source'!$A230,'Budget by Source'!$A$6:$A$335,0),MATCH(S$3,'Budget by Source'!$A$5:$I$5,0))-(ROUND(INDEX('Budget by Source'!$A$6:$I$335,MATCH('Payment by Source'!$A230,'Budget by Source'!$A$6:$A$335,0),MATCH(S$3,'Budget by Source'!$A$5:$I$5,0))/10,0)*10)</f>
        <v>-1</v>
      </c>
      <c r="T230" s="158">
        <f>INDEX('Budget by Source'!$A$6:$I$335,MATCH('Payment by Source'!$A230,'Budget by Source'!$A$6:$A$335,0),MATCH(T$3,'Budget by Source'!$A$5:$I$5,0))-(ROUND(INDEX('Budget by Source'!$A$6:$I$335,MATCH('Payment by Source'!$A230,'Budget by Source'!$A$6:$A$335,0),MATCH(T$3,'Budget by Source'!$A$5:$I$5,0))/10,0)*10)</f>
        <v>2</v>
      </c>
      <c r="U230" s="159">
        <f>INDEX('Budget by Source'!$A$6:$I$335,MATCH('Payment by Source'!$A230,'Budget by Source'!$A$6:$A$335,0),MATCH(U$3,'Budget by Source'!$A$5:$I$5,0))</f>
        <v>2719414</v>
      </c>
      <c r="V230" s="156">
        <f t="shared" si="10"/>
        <v>271941</v>
      </c>
      <c r="W230" s="156">
        <f t="shared" si="11"/>
        <v>2719410</v>
      </c>
    </row>
    <row r="231" spans="1:23" x14ac:dyDescent="0.2">
      <c r="A231" s="23" t="str">
        <f>Data!B227</f>
        <v>4890</v>
      </c>
      <c r="B231" s="21" t="str">
        <f>INDEX(Data[],MATCH($A231,Data[Dist],0),MATCH(B$5,Data[#Headers],0))</f>
        <v>Okoboji</v>
      </c>
      <c r="C231" s="22">
        <f>IF(Notes!$B$2="June",ROUND('Budget by Source'!C231/10,0)+P231,ROUND('Budget by Source'!C231/10,0))</f>
        <v>22122</v>
      </c>
      <c r="D231" s="22">
        <f>IF(Notes!$B$2="June",ROUND('Budget by Source'!D231/10,0)+Q231,ROUND('Budget by Source'!D231/10,0))</f>
        <v>56993</v>
      </c>
      <c r="E231" s="22">
        <f>IF(Notes!$B$2="June",ROUND('Budget by Source'!E231/10,0)+R231,ROUND('Budget by Source'!E231/10,0))</f>
        <v>6302</v>
      </c>
      <c r="F231" s="22">
        <f>IF(Notes!$B$2="June",ROUND('Budget by Source'!F231/10,0)+S231,ROUND('Budget by Source'!F231/10,0))</f>
        <v>6491</v>
      </c>
      <c r="G231" s="22">
        <f>IF(Notes!$B$2="June",ROUND('Budget by Source'!G231/10,0)+T231,ROUND('Budget by Source'!G231/10,0))</f>
        <v>31486</v>
      </c>
      <c r="H231" s="22">
        <f t="shared" si="9"/>
        <v>-106961</v>
      </c>
      <c r="I231" s="22">
        <f>INDEX(Data[],MATCH($A231,Data[Dist],0),MATCH(I$5,Data[#Headers],0))</f>
        <v>16433</v>
      </c>
      <c r="K231" s="70">
        <f>INDEX('Payment Total'!$A$7:$H$336,MATCH('Payment by Source'!$A231,'Payment Total'!$A$7:$A$336,0),6)-I231</f>
        <v>0</v>
      </c>
      <c r="P231" s="158">
        <f>INDEX('Budget by Source'!$A$6:$I$335,MATCH('Payment by Source'!$A231,'Budget by Source'!$A$6:$A$335,0),MATCH(P$3,'Budget by Source'!$A$5:$I$5,0))-(ROUND(INDEX('Budget by Source'!$A$6:$I$335,MATCH('Payment by Source'!$A231,'Budget by Source'!$A$6:$A$335,0),MATCH(P$3,'Budget by Source'!$A$5:$I$5,0))/10,0)*10)</f>
        <v>3</v>
      </c>
      <c r="Q231" s="158">
        <f>INDEX('Budget by Source'!$A$6:$I$335,MATCH('Payment by Source'!$A231,'Budget by Source'!$A$6:$A$335,0),MATCH(Q$3,'Budget by Source'!$A$5:$I$5,0))-(ROUND(INDEX('Budget by Source'!$A$6:$I$335,MATCH('Payment by Source'!$A231,'Budget by Source'!$A$6:$A$335,0),MATCH(Q$3,'Budget by Source'!$A$5:$I$5,0))/10,0)*10)</f>
        <v>-5</v>
      </c>
      <c r="R231" s="158">
        <f>INDEX('Budget by Source'!$A$6:$I$335,MATCH('Payment by Source'!$A231,'Budget by Source'!$A$6:$A$335,0),MATCH(R$3,'Budget by Source'!$A$5:$I$5,0))-(ROUND(INDEX('Budget by Source'!$A$6:$I$335,MATCH('Payment by Source'!$A231,'Budget by Source'!$A$6:$A$335,0),MATCH(R$3,'Budget by Source'!$A$5:$I$5,0))/10,0)*10)</f>
        <v>1</v>
      </c>
      <c r="S231" s="158">
        <f>INDEX('Budget by Source'!$A$6:$I$335,MATCH('Payment by Source'!$A231,'Budget by Source'!$A$6:$A$335,0),MATCH(S$3,'Budget by Source'!$A$5:$I$5,0))-(ROUND(INDEX('Budget by Source'!$A$6:$I$335,MATCH('Payment by Source'!$A231,'Budget by Source'!$A$6:$A$335,0),MATCH(S$3,'Budget by Source'!$A$5:$I$5,0))/10,0)*10)</f>
        <v>1</v>
      </c>
      <c r="T231" s="158">
        <f>INDEX('Budget by Source'!$A$6:$I$335,MATCH('Payment by Source'!$A231,'Budget by Source'!$A$6:$A$335,0),MATCH(T$3,'Budget by Source'!$A$5:$I$5,0))-(ROUND(INDEX('Budget by Source'!$A$6:$I$335,MATCH('Payment by Source'!$A231,'Budget by Source'!$A$6:$A$335,0),MATCH(T$3,'Budget by Source'!$A$5:$I$5,0))/10,0)*10)</f>
        <v>3</v>
      </c>
      <c r="U231" s="159">
        <f>INDEX('Budget by Source'!$A$6:$I$335,MATCH('Payment by Source'!$A231,'Budget by Source'!$A$6:$A$335,0),MATCH(U$3,'Budget by Source'!$A$5:$I$5,0))</f>
        <v>-1053895</v>
      </c>
      <c r="V231" s="156">
        <f t="shared" si="10"/>
        <v>-105390</v>
      </c>
      <c r="W231" s="156">
        <f t="shared" si="11"/>
        <v>-1053900</v>
      </c>
    </row>
    <row r="232" spans="1:23" x14ac:dyDescent="0.2">
      <c r="A232" s="23" t="str">
        <f>Data!B228</f>
        <v>4905</v>
      </c>
      <c r="B232" s="21" t="str">
        <f>INDEX(Data[],MATCH($A232,Data[Dist],0),MATCH(B$5,Data[#Headers],0))</f>
        <v>Olin</v>
      </c>
      <c r="C232" s="22">
        <f>IF(Notes!$B$2="June",ROUND('Budget by Source'!C232/10,0)+P232,ROUND('Budget by Source'!C232/10,0))</f>
        <v>2682</v>
      </c>
      <c r="D232" s="22">
        <f>IF(Notes!$B$2="June",ROUND('Budget by Source'!D232/10,0)+Q232,ROUND('Budget by Source'!D232/10,0))</f>
        <v>15463</v>
      </c>
      <c r="E232" s="22">
        <f>IF(Notes!$B$2="June",ROUND('Budget by Source'!E232/10,0)+R232,ROUND('Budget by Source'!E232/10,0))</f>
        <v>1548</v>
      </c>
      <c r="F232" s="22">
        <f>IF(Notes!$B$2="June",ROUND('Budget by Source'!F232/10,0)+S232,ROUND('Budget by Source'!F232/10,0))</f>
        <v>1589</v>
      </c>
      <c r="G232" s="22">
        <f>IF(Notes!$B$2="June",ROUND('Budget by Source'!G232/10,0)+T232,ROUND('Budget by Source'!G232/10,0))</f>
        <v>7050</v>
      </c>
      <c r="H232" s="22">
        <f t="shared" si="9"/>
        <v>94298</v>
      </c>
      <c r="I232" s="22">
        <f>INDEX(Data[],MATCH($A232,Data[Dist],0),MATCH(I$5,Data[#Headers],0))</f>
        <v>122630</v>
      </c>
      <c r="K232" s="70">
        <f>INDEX('Payment Total'!$A$7:$H$336,MATCH('Payment by Source'!$A232,'Payment Total'!$A$7:$A$336,0),6)-I232</f>
        <v>0</v>
      </c>
      <c r="P232" s="158">
        <f>INDEX('Budget by Source'!$A$6:$I$335,MATCH('Payment by Source'!$A232,'Budget by Source'!$A$6:$A$335,0),MATCH(P$3,'Budget by Source'!$A$5:$I$5,0))-(ROUND(INDEX('Budget by Source'!$A$6:$I$335,MATCH('Payment by Source'!$A232,'Budget by Source'!$A$6:$A$335,0),MATCH(P$3,'Budget by Source'!$A$5:$I$5,0))/10,0)*10)</f>
        <v>1</v>
      </c>
      <c r="Q232" s="158">
        <f>INDEX('Budget by Source'!$A$6:$I$335,MATCH('Payment by Source'!$A232,'Budget by Source'!$A$6:$A$335,0),MATCH(Q$3,'Budget by Source'!$A$5:$I$5,0))-(ROUND(INDEX('Budget by Source'!$A$6:$I$335,MATCH('Payment by Source'!$A232,'Budget by Source'!$A$6:$A$335,0),MATCH(Q$3,'Budget by Source'!$A$5:$I$5,0))/10,0)*10)</f>
        <v>0</v>
      </c>
      <c r="R232" s="158">
        <f>INDEX('Budget by Source'!$A$6:$I$335,MATCH('Payment by Source'!$A232,'Budget by Source'!$A$6:$A$335,0),MATCH(R$3,'Budget by Source'!$A$5:$I$5,0))-(ROUND(INDEX('Budget by Source'!$A$6:$I$335,MATCH('Payment by Source'!$A232,'Budget by Source'!$A$6:$A$335,0),MATCH(R$3,'Budget by Source'!$A$5:$I$5,0))/10,0)*10)</f>
        <v>0</v>
      </c>
      <c r="S232" s="158">
        <f>INDEX('Budget by Source'!$A$6:$I$335,MATCH('Payment by Source'!$A232,'Budget by Source'!$A$6:$A$335,0),MATCH(S$3,'Budget by Source'!$A$5:$I$5,0))-(ROUND(INDEX('Budget by Source'!$A$6:$I$335,MATCH('Payment by Source'!$A232,'Budget by Source'!$A$6:$A$335,0),MATCH(S$3,'Budget by Source'!$A$5:$I$5,0))/10,0)*10)</f>
        <v>-1</v>
      </c>
      <c r="T232" s="158">
        <f>INDEX('Budget by Source'!$A$6:$I$335,MATCH('Payment by Source'!$A232,'Budget by Source'!$A$6:$A$335,0),MATCH(T$3,'Budget by Source'!$A$5:$I$5,0))-(ROUND(INDEX('Budget by Source'!$A$6:$I$335,MATCH('Payment by Source'!$A232,'Budget by Source'!$A$6:$A$335,0),MATCH(T$3,'Budget by Source'!$A$5:$I$5,0))/10,0)*10)</f>
        <v>3</v>
      </c>
      <c r="U232" s="159">
        <f>INDEX('Budget by Source'!$A$6:$I$335,MATCH('Payment by Source'!$A232,'Budget by Source'!$A$6:$A$335,0),MATCH(U$3,'Budget by Source'!$A$5:$I$5,0))</f>
        <v>946453</v>
      </c>
      <c r="V232" s="156">
        <f t="shared" si="10"/>
        <v>94645</v>
      </c>
      <c r="W232" s="156">
        <f t="shared" si="11"/>
        <v>946450</v>
      </c>
    </row>
    <row r="233" spans="1:23" x14ac:dyDescent="0.2">
      <c r="A233" s="23" t="str">
        <f>Data!B229</f>
        <v>4978</v>
      </c>
      <c r="B233" s="21" t="str">
        <f>INDEX(Data[],MATCH($A233,Data[Dist],0),MATCH(B$5,Data[#Headers],0))</f>
        <v>Orient-Macksburg</v>
      </c>
      <c r="C233" s="22">
        <f>IF(Notes!$B$2="June",ROUND('Budget by Source'!C233/10,0)+P233,ROUND('Budget by Source'!C233/10,0))</f>
        <v>3355</v>
      </c>
      <c r="D233" s="22">
        <f>IF(Notes!$B$2="June",ROUND('Budget by Source'!D233/10,0)+Q233,ROUND('Budget by Source'!D233/10,0))</f>
        <v>13924</v>
      </c>
      <c r="E233" s="22">
        <f>IF(Notes!$B$2="June",ROUND('Budget by Source'!E233/10,0)+R233,ROUND('Budget by Source'!E233/10,0))</f>
        <v>1063</v>
      </c>
      <c r="F233" s="22">
        <f>IF(Notes!$B$2="June",ROUND('Budget by Source'!F233/10,0)+S233,ROUND('Budget by Source'!F233/10,0))</f>
        <v>1547</v>
      </c>
      <c r="G233" s="22">
        <f>IF(Notes!$B$2="June",ROUND('Budget by Source'!G233/10,0)+T233,ROUND('Budget by Source'!G233/10,0))</f>
        <v>6245</v>
      </c>
      <c r="H233" s="22">
        <f t="shared" si="9"/>
        <v>60107</v>
      </c>
      <c r="I233" s="22">
        <f>INDEX(Data[],MATCH($A233,Data[Dist],0),MATCH(I$5,Data[#Headers],0))</f>
        <v>86241</v>
      </c>
      <c r="K233" s="70">
        <f>INDEX('Payment Total'!$A$7:$H$336,MATCH('Payment by Source'!$A233,'Payment Total'!$A$7:$A$336,0),6)-I233</f>
        <v>0</v>
      </c>
      <c r="P233" s="158">
        <f>INDEX('Budget by Source'!$A$6:$I$335,MATCH('Payment by Source'!$A233,'Budget by Source'!$A$6:$A$335,0),MATCH(P$3,'Budget by Source'!$A$5:$I$5,0))-(ROUND(INDEX('Budget by Source'!$A$6:$I$335,MATCH('Payment by Source'!$A233,'Budget by Source'!$A$6:$A$335,0),MATCH(P$3,'Budget by Source'!$A$5:$I$5,0))/10,0)*10)</f>
        <v>4</v>
      </c>
      <c r="Q233" s="158">
        <f>INDEX('Budget by Source'!$A$6:$I$335,MATCH('Payment by Source'!$A233,'Budget by Source'!$A$6:$A$335,0),MATCH(Q$3,'Budget by Source'!$A$5:$I$5,0))-(ROUND(INDEX('Budget by Source'!$A$6:$I$335,MATCH('Payment by Source'!$A233,'Budget by Source'!$A$6:$A$335,0),MATCH(Q$3,'Budget by Source'!$A$5:$I$5,0))/10,0)*10)</f>
        <v>-1</v>
      </c>
      <c r="R233" s="158">
        <f>INDEX('Budget by Source'!$A$6:$I$335,MATCH('Payment by Source'!$A233,'Budget by Source'!$A$6:$A$335,0),MATCH(R$3,'Budget by Source'!$A$5:$I$5,0))-(ROUND(INDEX('Budget by Source'!$A$6:$I$335,MATCH('Payment by Source'!$A233,'Budget by Source'!$A$6:$A$335,0),MATCH(R$3,'Budget by Source'!$A$5:$I$5,0))/10,0)*10)</f>
        <v>4</v>
      </c>
      <c r="S233" s="158">
        <f>INDEX('Budget by Source'!$A$6:$I$335,MATCH('Payment by Source'!$A233,'Budget by Source'!$A$6:$A$335,0),MATCH(S$3,'Budget by Source'!$A$5:$I$5,0))-(ROUND(INDEX('Budget by Source'!$A$6:$I$335,MATCH('Payment by Source'!$A233,'Budget by Source'!$A$6:$A$335,0),MATCH(S$3,'Budget by Source'!$A$5:$I$5,0))/10,0)*10)</f>
        <v>-2</v>
      </c>
      <c r="T233" s="158">
        <f>INDEX('Budget by Source'!$A$6:$I$335,MATCH('Payment by Source'!$A233,'Budget by Source'!$A$6:$A$335,0),MATCH(T$3,'Budget by Source'!$A$5:$I$5,0))-(ROUND(INDEX('Budget by Source'!$A$6:$I$335,MATCH('Payment by Source'!$A233,'Budget by Source'!$A$6:$A$335,0),MATCH(T$3,'Budget by Source'!$A$5:$I$5,0))/10,0)*10)</f>
        <v>-1</v>
      </c>
      <c r="U233" s="159">
        <f>INDEX('Budget by Source'!$A$6:$I$335,MATCH('Payment by Source'!$A233,'Budget by Source'!$A$6:$A$335,0),MATCH(U$3,'Budget by Source'!$A$5:$I$5,0))</f>
        <v>604302</v>
      </c>
      <c r="V233" s="156">
        <f t="shared" si="10"/>
        <v>60430</v>
      </c>
      <c r="W233" s="156">
        <f t="shared" si="11"/>
        <v>604300</v>
      </c>
    </row>
    <row r="234" spans="1:23" x14ac:dyDescent="0.2">
      <c r="A234" s="23" t="str">
        <f>Data!B230</f>
        <v>4995</v>
      </c>
      <c r="B234" s="21" t="str">
        <f>INDEX(Data[],MATCH($A234,Data[Dist],0),MATCH(B$5,Data[#Headers],0))</f>
        <v>Osage</v>
      </c>
      <c r="C234" s="22">
        <f>IF(Notes!$B$2="June",ROUND('Budget by Source'!C234/10,0)+P234,ROUND('Budget by Source'!C234/10,0))</f>
        <v>22122</v>
      </c>
      <c r="D234" s="22">
        <f>IF(Notes!$B$2="June",ROUND('Budget by Source'!D234/10,0)+Q234,ROUND('Budget by Source'!D234/10,0))</f>
        <v>52892</v>
      </c>
      <c r="E234" s="22">
        <f>IF(Notes!$B$2="June",ROUND('Budget by Source'!E234/10,0)+R234,ROUND('Budget by Source'!E234/10,0))</f>
        <v>5629</v>
      </c>
      <c r="F234" s="22">
        <f>IF(Notes!$B$2="June",ROUND('Budget by Source'!F234/10,0)+S234,ROUND('Budget by Source'!F234/10,0))</f>
        <v>6010</v>
      </c>
      <c r="G234" s="22">
        <f>IF(Notes!$B$2="June",ROUND('Budget by Source'!G234/10,0)+T234,ROUND('Budget by Source'!G234/10,0))</f>
        <v>29757</v>
      </c>
      <c r="H234" s="22">
        <f t="shared" si="9"/>
        <v>398871</v>
      </c>
      <c r="I234" s="22">
        <f>INDEX(Data[],MATCH($A234,Data[Dist],0),MATCH(I$5,Data[#Headers],0))</f>
        <v>515281</v>
      </c>
      <c r="K234" s="70">
        <f>INDEX('Payment Total'!$A$7:$H$336,MATCH('Payment by Source'!$A234,'Payment Total'!$A$7:$A$336,0),6)-I234</f>
        <v>0</v>
      </c>
      <c r="P234" s="158">
        <f>INDEX('Budget by Source'!$A$6:$I$335,MATCH('Payment by Source'!$A234,'Budget by Source'!$A$6:$A$335,0),MATCH(P$3,'Budget by Source'!$A$5:$I$5,0))-(ROUND(INDEX('Budget by Source'!$A$6:$I$335,MATCH('Payment by Source'!$A234,'Budget by Source'!$A$6:$A$335,0),MATCH(P$3,'Budget by Source'!$A$5:$I$5,0))/10,0)*10)</f>
        <v>3</v>
      </c>
      <c r="Q234" s="158">
        <f>INDEX('Budget by Source'!$A$6:$I$335,MATCH('Payment by Source'!$A234,'Budget by Source'!$A$6:$A$335,0),MATCH(Q$3,'Budget by Source'!$A$5:$I$5,0))-(ROUND(INDEX('Budget by Source'!$A$6:$I$335,MATCH('Payment by Source'!$A234,'Budget by Source'!$A$6:$A$335,0),MATCH(Q$3,'Budget by Source'!$A$5:$I$5,0))/10,0)*10)</f>
        <v>-4</v>
      </c>
      <c r="R234" s="158">
        <f>INDEX('Budget by Source'!$A$6:$I$335,MATCH('Payment by Source'!$A234,'Budget by Source'!$A$6:$A$335,0),MATCH(R$3,'Budget by Source'!$A$5:$I$5,0))-(ROUND(INDEX('Budget by Source'!$A$6:$I$335,MATCH('Payment by Source'!$A234,'Budget by Source'!$A$6:$A$335,0),MATCH(R$3,'Budget by Source'!$A$5:$I$5,0))/10,0)*10)</f>
        <v>-5</v>
      </c>
      <c r="S234" s="158">
        <f>INDEX('Budget by Source'!$A$6:$I$335,MATCH('Payment by Source'!$A234,'Budget by Source'!$A$6:$A$335,0),MATCH(S$3,'Budget by Source'!$A$5:$I$5,0))-(ROUND(INDEX('Budget by Source'!$A$6:$I$335,MATCH('Payment by Source'!$A234,'Budget by Source'!$A$6:$A$335,0),MATCH(S$3,'Budget by Source'!$A$5:$I$5,0))/10,0)*10)</f>
        <v>-3</v>
      </c>
      <c r="T234" s="158">
        <f>INDEX('Budget by Source'!$A$6:$I$335,MATCH('Payment by Source'!$A234,'Budget by Source'!$A$6:$A$335,0),MATCH(T$3,'Budget by Source'!$A$5:$I$5,0))-(ROUND(INDEX('Budget by Source'!$A$6:$I$335,MATCH('Payment by Source'!$A234,'Budget by Source'!$A$6:$A$335,0),MATCH(T$3,'Budget by Source'!$A$5:$I$5,0))/10,0)*10)</f>
        <v>0</v>
      </c>
      <c r="U234" s="159">
        <f>INDEX('Budget by Source'!$A$6:$I$335,MATCH('Payment by Source'!$A234,'Budget by Source'!$A$6:$A$335,0),MATCH(U$3,'Budget by Source'!$A$5:$I$5,0))</f>
        <v>4003609</v>
      </c>
      <c r="V234" s="156">
        <f t="shared" si="10"/>
        <v>400361</v>
      </c>
      <c r="W234" s="156">
        <f t="shared" si="11"/>
        <v>4003610</v>
      </c>
    </row>
    <row r="235" spans="1:23" x14ac:dyDescent="0.2">
      <c r="A235" s="23" t="str">
        <f>Data!B231</f>
        <v>5013</v>
      </c>
      <c r="B235" s="21" t="str">
        <f>INDEX(Data[],MATCH($A235,Data[Dist],0),MATCH(B$5,Data[#Headers],0))</f>
        <v>Oskaloosa</v>
      </c>
      <c r="C235" s="22">
        <f>IF(Notes!$B$2="June",ROUND('Budget by Source'!C235/10,0)+P235,ROUND('Budget by Source'!C235/10,0))</f>
        <v>40553</v>
      </c>
      <c r="D235" s="22">
        <f>IF(Notes!$B$2="June",ROUND('Budget by Source'!D235/10,0)+Q235,ROUND('Budget by Source'!D235/10,0))</f>
        <v>133917</v>
      </c>
      <c r="E235" s="22">
        <f>IF(Notes!$B$2="June",ROUND('Budget by Source'!E235/10,0)+R235,ROUND('Budget by Source'!E235/10,0))</f>
        <v>17496</v>
      </c>
      <c r="F235" s="22">
        <f>IF(Notes!$B$2="June",ROUND('Budget by Source'!F235/10,0)+S235,ROUND('Budget by Source'!F235/10,0))</f>
        <v>15723</v>
      </c>
      <c r="G235" s="22">
        <f>IF(Notes!$B$2="June",ROUND('Budget by Source'!G235/10,0)+T235,ROUND('Budget by Source'!G235/10,0))</f>
        <v>77100</v>
      </c>
      <c r="H235" s="22">
        <f t="shared" si="9"/>
        <v>1245138</v>
      </c>
      <c r="I235" s="22">
        <f>INDEX(Data[],MATCH($A235,Data[Dist],0),MATCH(I$5,Data[#Headers],0))</f>
        <v>1529927</v>
      </c>
      <c r="K235" s="70">
        <f>INDEX('Payment Total'!$A$7:$H$336,MATCH('Payment by Source'!$A235,'Payment Total'!$A$7:$A$336,0),6)-I235</f>
        <v>0</v>
      </c>
      <c r="P235" s="158">
        <f>INDEX('Budget by Source'!$A$6:$I$335,MATCH('Payment by Source'!$A235,'Budget by Source'!$A$6:$A$335,0),MATCH(P$3,'Budget by Source'!$A$5:$I$5,0))-(ROUND(INDEX('Budget by Source'!$A$6:$I$335,MATCH('Payment by Source'!$A235,'Budget by Source'!$A$6:$A$335,0),MATCH(P$3,'Budget by Source'!$A$5:$I$5,0))/10,0)*10)</f>
        <v>1</v>
      </c>
      <c r="Q235" s="158">
        <f>INDEX('Budget by Source'!$A$6:$I$335,MATCH('Payment by Source'!$A235,'Budget by Source'!$A$6:$A$335,0),MATCH(Q$3,'Budget by Source'!$A$5:$I$5,0))-(ROUND(INDEX('Budget by Source'!$A$6:$I$335,MATCH('Payment by Source'!$A235,'Budget by Source'!$A$6:$A$335,0),MATCH(Q$3,'Budget by Source'!$A$5:$I$5,0))/10,0)*10)</f>
        <v>-2</v>
      </c>
      <c r="R235" s="158">
        <f>INDEX('Budget by Source'!$A$6:$I$335,MATCH('Payment by Source'!$A235,'Budget by Source'!$A$6:$A$335,0),MATCH(R$3,'Budget by Source'!$A$5:$I$5,0))-(ROUND(INDEX('Budget by Source'!$A$6:$I$335,MATCH('Payment by Source'!$A235,'Budget by Source'!$A$6:$A$335,0),MATCH(R$3,'Budget by Source'!$A$5:$I$5,0))/10,0)*10)</f>
        <v>-4</v>
      </c>
      <c r="S235" s="158">
        <f>INDEX('Budget by Source'!$A$6:$I$335,MATCH('Payment by Source'!$A235,'Budget by Source'!$A$6:$A$335,0),MATCH(S$3,'Budget by Source'!$A$5:$I$5,0))-(ROUND(INDEX('Budget by Source'!$A$6:$I$335,MATCH('Payment by Source'!$A235,'Budget by Source'!$A$6:$A$335,0),MATCH(S$3,'Budget by Source'!$A$5:$I$5,0))/10,0)*10)</f>
        <v>-1</v>
      </c>
      <c r="T235" s="158">
        <f>INDEX('Budget by Source'!$A$6:$I$335,MATCH('Payment by Source'!$A235,'Budget by Source'!$A$6:$A$335,0),MATCH(T$3,'Budget by Source'!$A$5:$I$5,0))-(ROUND(INDEX('Budget by Source'!$A$6:$I$335,MATCH('Payment by Source'!$A235,'Budget by Source'!$A$6:$A$335,0),MATCH(T$3,'Budget by Source'!$A$5:$I$5,0))/10,0)*10)</f>
        <v>4</v>
      </c>
      <c r="U235" s="159">
        <f>INDEX('Budget by Source'!$A$6:$I$335,MATCH('Payment by Source'!$A235,'Budget by Source'!$A$6:$A$335,0),MATCH(U$3,'Budget by Source'!$A$5:$I$5,0))</f>
        <v>12490679</v>
      </c>
      <c r="V235" s="156">
        <f t="shared" si="10"/>
        <v>1249068</v>
      </c>
      <c r="W235" s="156">
        <f t="shared" si="11"/>
        <v>12490680</v>
      </c>
    </row>
    <row r="236" spans="1:23" x14ac:dyDescent="0.2">
      <c r="A236" s="23" t="str">
        <f>Data!B232</f>
        <v>5049</v>
      </c>
      <c r="B236" s="21" t="str">
        <f>INDEX(Data[],MATCH($A236,Data[Dist],0),MATCH(B$5,Data[#Headers],0))</f>
        <v>Ottumwa</v>
      </c>
      <c r="C236" s="22">
        <f>IF(Notes!$B$2="June",ROUND('Budget by Source'!C236/10,0)+P236,ROUND('Budget by Source'!C236/10,0))</f>
        <v>54629</v>
      </c>
      <c r="D236" s="22">
        <f>IF(Notes!$B$2="June",ROUND('Budget by Source'!D236/10,0)+Q236,ROUND('Budget by Source'!D236/10,0))</f>
        <v>258228</v>
      </c>
      <c r="E236" s="22">
        <f>IF(Notes!$B$2="June",ROUND('Budget by Source'!E236/10,0)+R236,ROUND('Budget by Source'!E236/10,0))</f>
        <v>37190</v>
      </c>
      <c r="F236" s="22">
        <f>IF(Notes!$B$2="June",ROUND('Budget by Source'!F236/10,0)+S236,ROUND('Budget by Source'!F236/10,0))</f>
        <v>29280</v>
      </c>
      <c r="G236" s="22">
        <f>IF(Notes!$B$2="June",ROUND('Budget by Source'!G236/10,0)+T236,ROUND('Budget by Source'!G236/10,0))</f>
        <v>150591</v>
      </c>
      <c r="H236" s="22">
        <f t="shared" si="9"/>
        <v>2780951</v>
      </c>
      <c r="I236" s="22">
        <f>INDEX(Data[],MATCH($A236,Data[Dist],0),MATCH(I$5,Data[#Headers],0))</f>
        <v>3310869</v>
      </c>
      <c r="K236" s="70">
        <f>INDEX('Payment Total'!$A$7:$H$336,MATCH('Payment by Source'!$A236,'Payment Total'!$A$7:$A$336,0),6)-I236</f>
        <v>0</v>
      </c>
      <c r="P236" s="158">
        <f>INDEX('Budget by Source'!$A$6:$I$335,MATCH('Payment by Source'!$A236,'Budget by Source'!$A$6:$A$335,0),MATCH(P$3,'Budget by Source'!$A$5:$I$5,0))-(ROUND(INDEX('Budget by Source'!$A$6:$I$335,MATCH('Payment by Source'!$A236,'Budget by Source'!$A$6:$A$335,0),MATCH(P$3,'Budget by Source'!$A$5:$I$5,0))/10,0)*10)</f>
        <v>1</v>
      </c>
      <c r="Q236" s="158">
        <f>INDEX('Budget by Source'!$A$6:$I$335,MATCH('Payment by Source'!$A236,'Budget by Source'!$A$6:$A$335,0),MATCH(Q$3,'Budget by Source'!$A$5:$I$5,0))-(ROUND(INDEX('Budget by Source'!$A$6:$I$335,MATCH('Payment by Source'!$A236,'Budget by Source'!$A$6:$A$335,0),MATCH(Q$3,'Budget by Source'!$A$5:$I$5,0))/10,0)*10)</f>
        <v>-5</v>
      </c>
      <c r="R236" s="158">
        <f>INDEX('Budget by Source'!$A$6:$I$335,MATCH('Payment by Source'!$A236,'Budget by Source'!$A$6:$A$335,0),MATCH(R$3,'Budget by Source'!$A$5:$I$5,0))-(ROUND(INDEX('Budget by Source'!$A$6:$I$335,MATCH('Payment by Source'!$A236,'Budget by Source'!$A$6:$A$335,0),MATCH(R$3,'Budget by Source'!$A$5:$I$5,0))/10,0)*10)</f>
        <v>2</v>
      </c>
      <c r="S236" s="158">
        <f>INDEX('Budget by Source'!$A$6:$I$335,MATCH('Payment by Source'!$A236,'Budget by Source'!$A$6:$A$335,0),MATCH(S$3,'Budget by Source'!$A$5:$I$5,0))-(ROUND(INDEX('Budget by Source'!$A$6:$I$335,MATCH('Payment by Source'!$A236,'Budget by Source'!$A$6:$A$335,0),MATCH(S$3,'Budget by Source'!$A$5:$I$5,0))/10,0)*10)</f>
        <v>2</v>
      </c>
      <c r="T236" s="158">
        <f>INDEX('Budget by Source'!$A$6:$I$335,MATCH('Payment by Source'!$A236,'Budget by Source'!$A$6:$A$335,0),MATCH(T$3,'Budget by Source'!$A$5:$I$5,0))-(ROUND(INDEX('Budget by Source'!$A$6:$I$335,MATCH('Payment by Source'!$A236,'Budget by Source'!$A$6:$A$335,0),MATCH(T$3,'Budget by Source'!$A$5:$I$5,0))/10,0)*10)</f>
        <v>3</v>
      </c>
      <c r="U236" s="159">
        <f>INDEX('Budget by Source'!$A$6:$I$335,MATCH('Payment by Source'!$A236,'Budget by Source'!$A$6:$A$335,0),MATCH(U$3,'Budget by Source'!$A$5:$I$5,0))</f>
        <v>27886334</v>
      </c>
      <c r="V236" s="156">
        <f t="shared" si="10"/>
        <v>2788633</v>
      </c>
      <c r="W236" s="156">
        <f t="shared" si="11"/>
        <v>27886330</v>
      </c>
    </row>
    <row r="237" spans="1:23" x14ac:dyDescent="0.2">
      <c r="A237" s="23" t="str">
        <f>Data!B233</f>
        <v>5121</v>
      </c>
      <c r="B237" s="21" t="str">
        <f>INDEX(Data[],MATCH($A237,Data[Dist],0),MATCH(B$5,Data[#Headers],0))</f>
        <v>Panorama</v>
      </c>
      <c r="C237" s="22">
        <f>IF(Notes!$B$2="June",ROUND('Budget by Source'!C237/10,0)+P237,ROUND('Budget by Source'!C237/10,0))</f>
        <v>11393</v>
      </c>
      <c r="D237" s="22">
        <f>IF(Notes!$B$2="June",ROUND('Budget by Source'!D237/10,0)+Q237,ROUND('Budget by Source'!D237/10,0))</f>
        <v>40561</v>
      </c>
      <c r="E237" s="22">
        <f>IF(Notes!$B$2="June",ROUND('Budget by Source'!E237/10,0)+R237,ROUND('Budget by Source'!E237/10,0))</f>
        <v>4229</v>
      </c>
      <c r="F237" s="22">
        <f>IF(Notes!$B$2="June",ROUND('Budget by Source'!F237/10,0)+S237,ROUND('Budget by Source'!F237/10,0))</f>
        <v>4007</v>
      </c>
      <c r="G237" s="22">
        <f>IF(Notes!$B$2="June",ROUND('Budget by Source'!G237/10,0)+T237,ROUND('Budget by Source'!G237/10,0))</f>
        <v>23371</v>
      </c>
      <c r="H237" s="22">
        <f t="shared" si="9"/>
        <v>262383</v>
      </c>
      <c r="I237" s="22">
        <f>INDEX(Data[],MATCH($A237,Data[Dist],0),MATCH(I$5,Data[#Headers],0))</f>
        <v>345944</v>
      </c>
      <c r="K237" s="70">
        <f>INDEX('Payment Total'!$A$7:$H$336,MATCH('Payment by Source'!$A237,'Payment Total'!$A$7:$A$336,0),6)-I237</f>
        <v>0</v>
      </c>
      <c r="P237" s="158">
        <f>INDEX('Budget by Source'!$A$6:$I$335,MATCH('Payment by Source'!$A237,'Budget by Source'!$A$6:$A$335,0),MATCH(P$3,'Budget by Source'!$A$5:$I$5,0))-(ROUND(INDEX('Budget by Source'!$A$6:$I$335,MATCH('Payment by Source'!$A237,'Budget by Source'!$A$6:$A$335,0),MATCH(P$3,'Budget by Source'!$A$5:$I$5,0))/10,0)*10)</f>
        <v>-2</v>
      </c>
      <c r="Q237" s="158">
        <f>INDEX('Budget by Source'!$A$6:$I$335,MATCH('Payment by Source'!$A237,'Budget by Source'!$A$6:$A$335,0),MATCH(Q$3,'Budget by Source'!$A$5:$I$5,0))-(ROUND(INDEX('Budget by Source'!$A$6:$I$335,MATCH('Payment by Source'!$A237,'Budget by Source'!$A$6:$A$335,0),MATCH(Q$3,'Budget by Source'!$A$5:$I$5,0))/10,0)*10)</f>
        <v>3</v>
      </c>
      <c r="R237" s="158">
        <f>INDEX('Budget by Source'!$A$6:$I$335,MATCH('Payment by Source'!$A237,'Budget by Source'!$A$6:$A$335,0),MATCH(R$3,'Budget by Source'!$A$5:$I$5,0))-(ROUND(INDEX('Budget by Source'!$A$6:$I$335,MATCH('Payment by Source'!$A237,'Budget by Source'!$A$6:$A$335,0),MATCH(R$3,'Budget by Source'!$A$5:$I$5,0))/10,0)*10)</f>
        <v>-4</v>
      </c>
      <c r="S237" s="158">
        <f>INDEX('Budget by Source'!$A$6:$I$335,MATCH('Payment by Source'!$A237,'Budget by Source'!$A$6:$A$335,0),MATCH(S$3,'Budget by Source'!$A$5:$I$5,0))-(ROUND(INDEX('Budget by Source'!$A$6:$I$335,MATCH('Payment by Source'!$A237,'Budget by Source'!$A$6:$A$335,0),MATCH(S$3,'Budget by Source'!$A$5:$I$5,0))/10,0)*10)</f>
        <v>4</v>
      </c>
      <c r="T237" s="158">
        <f>INDEX('Budget by Source'!$A$6:$I$335,MATCH('Payment by Source'!$A237,'Budget by Source'!$A$6:$A$335,0),MATCH(T$3,'Budget by Source'!$A$5:$I$5,0))-(ROUND(INDEX('Budget by Source'!$A$6:$I$335,MATCH('Payment by Source'!$A237,'Budget by Source'!$A$6:$A$335,0),MATCH(T$3,'Budget by Source'!$A$5:$I$5,0))/10,0)*10)</f>
        <v>2</v>
      </c>
      <c r="U237" s="159">
        <f>INDEX('Budget by Source'!$A$6:$I$335,MATCH('Payment by Source'!$A237,'Budget by Source'!$A$6:$A$335,0),MATCH(U$3,'Budget by Source'!$A$5:$I$5,0))</f>
        <v>2635613</v>
      </c>
      <c r="V237" s="156">
        <f t="shared" si="10"/>
        <v>263561</v>
      </c>
      <c r="W237" s="156">
        <f t="shared" si="11"/>
        <v>2635610</v>
      </c>
    </row>
    <row r="238" spans="1:23" x14ac:dyDescent="0.2">
      <c r="A238" s="23" t="str">
        <f>Data!B234</f>
        <v>5139</v>
      </c>
      <c r="B238" s="21" t="str">
        <f>INDEX(Data[],MATCH($A238,Data[Dist],0),MATCH(B$5,Data[#Headers],0))</f>
        <v>Paton-Churdan</v>
      </c>
      <c r="C238" s="22">
        <f>IF(Notes!$B$2="June",ROUND('Budget by Source'!C238/10,0)+P238,ROUND('Budget by Source'!C238/10,0))</f>
        <v>6365</v>
      </c>
      <c r="D238" s="22">
        <f>IF(Notes!$B$2="June",ROUND('Budget by Source'!D238/10,0)+Q238,ROUND('Budget by Source'!D238/10,0))</f>
        <v>12460</v>
      </c>
      <c r="E238" s="22">
        <f>IF(Notes!$B$2="June",ROUND('Budget by Source'!E238/10,0)+R238,ROUND('Budget by Source'!E238/10,0))</f>
        <v>1493</v>
      </c>
      <c r="F238" s="22">
        <f>IF(Notes!$B$2="June",ROUND('Budget by Source'!F238/10,0)+S238,ROUND('Budget by Source'!F238/10,0))</f>
        <v>1110</v>
      </c>
      <c r="G238" s="22">
        <f>IF(Notes!$B$2="June",ROUND('Budget by Source'!G238/10,0)+T238,ROUND('Budget by Source'!G238/10,0))</f>
        <v>6801</v>
      </c>
      <c r="H238" s="22">
        <f t="shared" si="9"/>
        <v>88699</v>
      </c>
      <c r="I238" s="22">
        <f>INDEX(Data[],MATCH($A238,Data[Dist],0),MATCH(I$5,Data[#Headers],0))</f>
        <v>116928</v>
      </c>
      <c r="K238" s="70">
        <f>INDEX('Payment Total'!$A$7:$H$336,MATCH('Payment by Source'!$A238,'Payment Total'!$A$7:$A$336,0),6)-I238</f>
        <v>0</v>
      </c>
      <c r="P238" s="158">
        <f>INDEX('Budget by Source'!$A$6:$I$335,MATCH('Payment by Source'!$A238,'Budget by Source'!$A$6:$A$335,0),MATCH(P$3,'Budget by Source'!$A$5:$I$5,0))-(ROUND(INDEX('Budget by Source'!$A$6:$I$335,MATCH('Payment by Source'!$A238,'Budget by Source'!$A$6:$A$335,0),MATCH(P$3,'Budget by Source'!$A$5:$I$5,0))/10,0)*10)</f>
        <v>-3</v>
      </c>
      <c r="Q238" s="158">
        <f>INDEX('Budget by Source'!$A$6:$I$335,MATCH('Payment by Source'!$A238,'Budget by Source'!$A$6:$A$335,0),MATCH(Q$3,'Budget by Source'!$A$5:$I$5,0))-(ROUND(INDEX('Budget by Source'!$A$6:$I$335,MATCH('Payment by Source'!$A238,'Budget by Source'!$A$6:$A$335,0),MATCH(Q$3,'Budget by Source'!$A$5:$I$5,0))/10,0)*10)</f>
        <v>-1</v>
      </c>
      <c r="R238" s="158">
        <f>INDEX('Budget by Source'!$A$6:$I$335,MATCH('Payment by Source'!$A238,'Budget by Source'!$A$6:$A$335,0),MATCH(R$3,'Budget by Source'!$A$5:$I$5,0))-(ROUND(INDEX('Budget by Source'!$A$6:$I$335,MATCH('Payment by Source'!$A238,'Budget by Source'!$A$6:$A$335,0),MATCH(R$3,'Budget by Source'!$A$5:$I$5,0))/10,0)*10)</f>
        <v>-5</v>
      </c>
      <c r="S238" s="158">
        <f>INDEX('Budget by Source'!$A$6:$I$335,MATCH('Payment by Source'!$A238,'Budget by Source'!$A$6:$A$335,0),MATCH(S$3,'Budget by Source'!$A$5:$I$5,0))-(ROUND(INDEX('Budget by Source'!$A$6:$I$335,MATCH('Payment by Source'!$A238,'Budget by Source'!$A$6:$A$335,0),MATCH(S$3,'Budget by Source'!$A$5:$I$5,0))/10,0)*10)</f>
        <v>2</v>
      </c>
      <c r="T238" s="158">
        <f>INDEX('Budget by Source'!$A$6:$I$335,MATCH('Payment by Source'!$A238,'Budget by Source'!$A$6:$A$335,0),MATCH(T$3,'Budget by Source'!$A$5:$I$5,0))-(ROUND(INDEX('Budget by Source'!$A$6:$I$335,MATCH('Payment by Source'!$A238,'Budget by Source'!$A$6:$A$335,0),MATCH(T$3,'Budget by Source'!$A$5:$I$5,0))/10,0)*10)</f>
        <v>0</v>
      </c>
      <c r="U238" s="159">
        <f>INDEX('Budget by Source'!$A$6:$I$335,MATCH('Payment by Source'!$A238,'Budget by Source'!$A$6:$A$335,0),MATCH(U$3,'Budget by Source'!$A$5:$I$5,0))</f>
        <v>890399</v>
      </c>
      <c r="V238" s="156">
        <f t="shared" si="10"/>
        <v>89040</v>
      </c>
      <c r="W238" s="156">
        <f t="shared" si="11"/>
        <v>890400</v>
      </c>
    </row>
    <row r="239" spans="1:23" x14ac:dyDescent="0.2">
      <c r="A239" s="23" t="str">
        <f>Data!B235</f>
        <v>5157</v>
      </c>
      <c r="B239" s="21" t="str">
        <f>INDEX(Data[],MATCH($A239,Data[Dist],0),MATCH(B$5,Data[#Headers],0))</f>
        <v>South O'Brien</v>
      </c>
      <c r="C239" s="22">
        <f>IF(Notes!$B$2="June",ROUND('Budget by Source'!C239/10,0)+P239,ROUND('Budget by Source'!C239/10,0))</f>
        <v>10393</v>
      </c>
      <c r="D239" s="22">
        <f>IF(Notes!$B$2="June",ROUND('Budget by Source'!D239/10,0)+Q239,ROUND('Budget by Source'!D239/10,0))</f>
        <v>36401</v>
      </c>
      <c r="E239" s="22">
        <f>IF(Notes!$B$2="June",ROUND('Budget by Source'!E239/10,0)+R239,ROUND('Budget by Source'!E239/10,0))</f>
        <v>3639</v>
      </c>
      <c r="F239" s="22">
        <f>IF(Notes!$B$2="June",ROUND('Budget by Source'!F239/10,0)+S239,ROUND('Budget by Source'!F239/10,0))</f>
        <v>4288</v>
      </c>
      <c r="G239" s="22">
        <f>IF(Notes!$B$2="June",ROUND('Budget by Source'!G239/10,0)+T239,ROUND('Budget by Source'!G239/10,0))</f>
        <v>19894</v>
      </c>
      <c r="H239" s="22">
        <f t="shared" si="9"/>
        <v>179925</v>
      </c>
      <c r="I239" s="22">
        <f>INDEX(Data[],MATCH($A239,Data[Dist],0),MATCH(I$5,Data[#Headers],0))</f>
        <v>254540</v>
      </c>
      <c r="K239" s="70">
        <f>INDEX('Payment Total'!$A$7:$H$336,MATCH('Payment by Source'!$A239,'Payment Total'!$A$7:$A$336,0),6)-I239</f>
        <v>0</v>
      </c>
      <c r="P239" s="158">
        <f>INDEX('Budget by Source'!$A$6:$I$335,MATCH('Payment by Source'!$A239,'Budget by Source'!$A$6:$A$335,0),MATCH(P$3,'Budget by Source'!$A$5:$I$5,0))-(ROUND(INDEX('Budget by Source'!$A$6:$I$335,MATCH('Payment by Source'!$A239,'Budget by Source'!$A$6:$A$335,0),MATCH(P$3,'Budget by Source'!$A$5:$I$5,0))/10,0)*10)</f>
        <v>4</v>
      </c>
      <c r="Q239" s="158">
        <f>INDEX('Budget by Source'!$A$6:$I$335,MATCH('Payment by Source'!$A239,'Budget by Source'!$A$6:$A$335,0),MATCH(Q$3,'Budget by Source'!$A$5:$I$5,0))-(ROUND(INDEX('Budget by Source'!$A$6:$I$335,MATCH('Payment by Source'!$A239,'Budget by Source'!$A$6:$A$335,0),MATCH(Q$3,'Budget by Source'!$A$5:$I$5,0))/10,0)*10)</f>
        <v>-4</v>
      </c>
      <c r="R239" s="158">
        <f>INDEX('Budget by Source'!$A$6:$I$335,MATCH('Payment by Source'!$A239,'Budget by Source'!$A$6:$A$335,0),MATCH(R$3,'Budget by Source'!$A$5:$I$5,0))-(ROUND(INDEX('Budget by Source'!$A$6:$I$335,MATCH('Payment by Source'!$A239,'Budget by Source'!$A$6:$A$335,0),MATCH(R$3,'Budget by Source'!$A$5:$I$5,0))/10,0)*10)</f>
        <v>-4</v>
      </c>
      <c r="S239" s="158">
        <f>INDEX('Budget by Source'!$A$6:$I$335,MATCH('Payment by Source'!$A239,'Budget by Source'!$A$6:$A$335,0),MATCH(S$3,'Budget by Source'!$A$5:$I$5,0))-(ROUND(INDEX('Budget by Source'!$A$6:$I$335,MATCH('Payment by Source'!$A239,'Budget by Source'!$A$6:$A$335,0),MATCH(S$3,'Budget by Source'!$A$5:$I$5,0))/10,0)*10)</f>
        <v>4</v>
      </c>
      <c r="T239" s="158">
        <f>INDEX('Budget by Source'!$A$6:$I$335,MATCH('Payment by Source'!$A239,'Budget by Source'!$A$6:$A$335,0),MATCH(T$3,'Budget by Source'!$A$5:$I$5,0))-(ROUND(INDEX('Budget by Source'!$A$6:$I$335,MATCH('Payment by Source'!$A239,'Budget by Source'!$A$6:$A$335,0),MATCH(T$3,'Budget by Source'!$A$5:$I$5,0))/10,0)*10)</f>
        <v>0</v>
      </c>
      <c r="U239" s="159">
        <f>INDEX('Budget by Source'!$A$6:$I$335,MATCH('Payment by Source'!$A239,'Budget by Source'!$A$6:$A$335,0),MATCH(U$3,'Budget by Source'!$A$5:$I$5,0))</f>
        <v>1809092</v>
      </c>
      <c r="V239" s="156">
        <f t="shared" si="10"/>
        <v>180909</v>
      </c>
      <c r="W239" s="156">
        <f t="shared" si="11"/>
        <v>1809090</v>
      </c>
    </row>
    <row r="240" spans="1:23" x14ac:dyDescent="0.2">
      <c r="A240" s="23" t="str">
        <f>Data!B236</f>
        <v>5163</v>
      </c>
      <c r="B240" s="21" t="str">
        <f>INDEX(Data[],MATCH($A240,Data[Dist],0),MATCH(B$5,Data[#Headers],0))</f>
        <v>Pekin</v>
      </c>
      <c r="C240" s="22">
        <f>IF(Notes!$B$2="June",ROUND('Budget by Source'!C240/10,0)+P240,ROUND('Budget by Source'!C240/10,0))</f>
        <v>14075</v>
      </c>
      <c r="D240" s="22">
        <f>IF(Notes!$B$2="June",ROUND('Budget by Source'!D240/10,0)+Q240,ROUND('Budget by Source'!D240/10,0))</f>
        <v>35211</v>
      </c>
      <c r="E240" s="22">
        <f>IF(Notes!$B$2="June",ROUND('Budget by Source'!E240/10,0)+R240,ROUND('Budget by Source'!E240/10,0))</f>
        <v>4078</v>
      </c>
      <c r="F240" s="22">
        <f>IF(Notes!$B$2="June",ROUND('Budget by Source'!F240/10,0)+S240,ROUND('Budget by Source'!F240/10,0))</f>
        <v>3955</v>
      </c>
      <c r="G240" s="22">
        <f>IF(Notes!$B$2="June",ROUND('Budget by Source'!G240/10,0)+T240,ROUND('Budget by Source'!G240/10,0))</f>
        <v>19900</v>
      </c>
      <c r="H240" s="22">
        <f t="shared" si="9"/>
        <v>256295</v>
      </c>
      <c r="I240" s="22">
        <f>INDEX(Data[],MATCH($A240,Data[Dist],0),MATCH(I$5,Data[#Headers],0))</f>
        <v>333514</v>
      </c>
      <c r="K240" s="70">
        <f>INDEX('Payment Total'!$A$7:$H$336,MATCH('Payment by Source'!$A240,'Payment Total'!$A$7:$A$336,0),6)-I240</f>
        <v>0</v>
      </c>
      <c r="P240" s="158">
        <f>INDEX('Budget by Source'!$A$6:$I$335,MATCH('Payment by Source'!$A240,'Budget by Source'!$A$6:$A$335,0),MATCH(P$3,'Budget by Source'!$A$5:$I$5,0))-(ROUND(INDEX('Budget by Source'!$A$6:$I$335,MATCH('Payment by Source'!$A240,'Budget by Source'!$A$6:$A$335,0),MATCH(P$3,'Budget by Source'!$A$5:$I$5,0))/10,0)*10)</f>
        <v>-1</v>
      </c>
      <c r="Q240" s="158">
        <f>INDEX('Budget by Source'!$A$6:$I$335,MATCH('Payment by Source'!$A240,'Budget by Source'!$A$6:$A$335,0),MATCH(Q$3,'Budget by Source'!$A$5:$I$5,0))-(ROUND(INDEX('Budget by Source'!$A$6:$I$335,MATCH('Payment by Source'!$A240,'Budget by Source'!$A$6:$A$335,0),MATCH(Q$3,'Budget by Source'!$A$5:$I$5,0))/10,0)*10)</f>
        <v>-4</v>
      </c>
      <c r="R240" s="158">
        <f>INDEX('Budget by Source'!$A$6:$I$335,MATCH('Payment by Source'!$A240,'Budget by Source'!$A$6:$A$335,0),MATCH(R$3,'Budget by Source'!$A$5:$I$5,0))-(ROUND(INDEX('Budget by Source'!$A$6:$I$335,MATCH('Payment by Source'!$A240,'Budget by Source'!$A$6:$A$335,0),MATCH(R$3,'Budget by Source'!$A$5:$I$5,0))/10,0)*10)</f>
        <v>-1</v>
      </c>
      <c r="S240" s="158">
        <f>INDEX('Budget by Source'!$A$6:$I$335,MATCH('Payment by Source'!$A240,'Budget by Source'!$A$6:$A$335,0),MATCH(S$3,'Budget by Source'!$A$5:$I$5,0))-(ROUND(INDEX('Budget by Source'!$A$6:$I$335,MATCH('Payment by Source'!$A240,'Budget by Source'!$A$6:$A$335,0),MATCH(S$3,'Budget by Source'!$A$5:$I$5,0))/10,0)*10)</f>
        <v>-3</v>
      </c>
      <c r="T240" s="158">
        <f>INDEX('Budget by Source'!$A$6:$I$335,MATCH('Payment by Source'!$A240,'Budget by Source'!$A$6:$A$335,0),MATCH(T$3,'Budget by Source'!$A$5:$I$5,0))-(ROUND(INDEX('Budget by Source'!$A$6:$I$335,MATCH('Payment by Source'!$A240,'Budget by Source'!$A$6:$A$335,0),MATCH(T$3,'Budget by Source'!$A$5:$I$5,0))/10,0)*10)</f>
        <v>3</v>
      </c>
      <c r="U240" s="159">
        <f>INDEX('Budget by Source'!$A$6:$I$335,MATCH('Payment by Source'!$A240,'Budget by Source'!$A$6:$A$335,0),MATCH(U$3,'Budget by Source'!$A$5:$I$5,0))</f>
        <v>2572906</v>
      </c>
      <c r="V240" s="156">
        <f t="shared" si="10"/>
        <v>257291</v>
      </c>
      <c r="W240" s="156">
        <f t="shared" si="11"/>
        <v>2572910</v>
      </c>
    </row>
    <row r="241" spans="1:23" x14ac:dyDescent="0.2">
      <c r="A241" s="23" t="str">
        <f>Data!B237</f>
        <v>5166</v>
      </c>
      <c r="B241" s="21" t="str">
        <f>INDEX(Data[],MATCH($A241,Data[Dist],0),MATCH(B$5,Data[#Headers],0))</f>
        <v>Pella</v>
      </c>
      <c r="C241" s="22">
        <f>IF(Notes!$B$2="June",ROUND('Budget by Source'!C241/10,0)+P241,ROUND('Budget by Source'!C241/10,0))</f>
        <v>33852</v>
      </c>
      <c r="D241" s="22">
        <f>IF(Notes!$B$2="June",ROUND('Budget by Source'!D241/10,0)+Q241,ROUND('Budget by Source'!D241/10,0))</f>
        <v>118085</v>
      </c>
      <c r="E241" s="22">
        <f>IF(Notes!$B$2="June",ROUND('Budget by Source'!E241/10,0)+R241,ROUND('Budget by Source'!E241/10,0))</f>
        <v>13660</v>
      </c>
      <c r="F241" s="22">
        <f>IF(Notes!$B$2="June",ROUND('Budget by Source'!F241/10,0)+S241,ROUND('Budget by Source'!F241/10,0))</f>
        <v>12690</v>
      </c>
      <c r="G241" s="22">
        <f>IF(Notes!$B$2="June",ROUND('Budget by Source'!G241/10,0)+T241,ROUND('Budget by Source'!G241/10,0))</f>
        <v>69912</v>
      </c>
      <c r="H241" s="22">
        <f t="shared" si="9"/>
        <v>954670</v>
      </c>
      <c r="I241" s="22">
        <f>INDEX(Data[],MATCH($A241,Data[Dist],0),MATCH(I$5,Data[#Headers],0))</f>
        <v>1202869</v>
      </c>
      <c r="K241" s="70">
        <f>INDEX('Payment Total'!$A$7:$H$336,MATCH('Payment by Source'!$A241,'Payment Total'!$A$7:$A$336,0),6)-I241</f>
        <v>0</v>
      </c>
      <c r="P241" s="158">
        <f>INDEX('Budget by Source'!$A$6:$I$335,MATCH('Payment by Source'!$A241,'Budget by Source'!$A$6:$A$335,0),MATCH(P$3,'Budget by Source'!$A$5:$I$5,0))-(ROUND(INDEX('Budget by Source'!$A$6:$I$335,MATCH('Payment by Source'!$A241,'Budget by Source'!$A$6:$A$335,0),MATCH(P$3,'Budget by Source'!$A$5:$I$5,0))/10,0)*10)</f>
        <v>3</v>
      </c>
      <c r="Q241" s="158">
        <f>INDEX('Budget by Source'!$A$6:$I$335,MATCH('Payment by Source'!$A241,'Budget by Source'!$A$6:$A$335,0),MATCH(Q$3,'Budget by Source'!$A$5:$I$5,0))-(ROUND(INDEX('Budget by Source'!$A$6:$I$335,MATCH('Payment by Source'!$A241,'Budget by Source'!$A$6:$A$335,0),MATCH(Q$3,'Budget by Source'!$A$5:$I$5,0))/10,0)*10)</f>
        <v>0</v>
      </c>
      <c r="R241" s="158">
        <f>INDEX('Budget by Source'!$A$6:$I$335,MATCH('Payment by Source'!$A241,'Budget by Source'!$A$6:$A$335,0),MATCH(R$3,'Budget by Source'!$A$5:$I$5,0))-(ROUND(INDEX('Budget by Source'!$A$6:$I$335,MATCH('Payment by Source'!$A241,'Budget by Source'!$A$6:$A$335,0),MATCH(R$3,'Budget by Source'!$A$5:$I$5,0))/10,0)*10)</f>
        <v>-1</v>
      </c>
      <c r="S241" s="158">
        <f>INDEX('Budget by Source'!$A$6:$I$335,MATCH('Payment by Source'!$A241,'Budget by Source'!$A$6:$A$335,0),MATCH(S$3,'Budget by Source'!$A$5:$I$5,0))-(ROUND(INDEX('Budget by Source'!$A$6:$I$335,MATCH('Payment by Source'!$A241,'Budget by Source'!$A$6:$A$335,0),MATCH(S$3,'Budget by Source'!$A$5:$I$5,0))/10,0)*10)</f>
        <v>-1</v>
      </c>
      <c r="T241" s="158">
        <f>INDEX('Budget by Source'!$A$6:$I$335,MATCH('Payment by Source'!$A241,'Budget by Source'!$A$6:$A$335,0),MATCH(T$3,'Budget by Source'!$A$5:$I$5,0))-(ROUND(INDEX('Budget by Source'!$A$6:$I$335,MATCH('Payment by Source'!$A241,'Budget by Source'!$A$6:$A$335,0),MATCH(T$3,'Budget by Source'!$A$5:$I$5,0))/10,0)*10)</f>
        <v>2</v>
      </c>
      <c r="U241" s="159">
        <f>INDEX('Budget by Source'!$A$6:$I$335,MATCH('Payment by Source'!$A241,'Budget by Source'!$A$6:$A$335,0),MATCH(U$3,'Budget by Source'!$A$5:$I$5,0))</f>
        <v>9582380</v>
      </c>
      <c r="V241" s="156">
        <f t="shared" si="10"/>
        <v>958238</v>
      </c>
      <c r="W241" s="156">
        <f t="shared" si="11"/>
        <v>9582380</v>
      </c>
    </row>
    <row r="242" spans="1:23" x14ac:dyDescent="0.2">
      <c r="A242" s="23" t="str">
        <f>Data!B238</f>
        <v>5184</v>
      </c>
      <c r="B242" s="21" t="str">
        <f>INDEX(Data[],MATCH($A242,Data[Dist],0),MATCH(B$5,Data[#Headers],0))</f>
        <v>Perry</v>
      </c>
      <c r="C242" s="22">
        <f>IF(Notes!$B$2="June",ROUND('Budget by Source'!C242/10,0)+P242,ROUND('Budget by Source'!C242/10,0))</f>
        <v>31506</v>
      </c>
      <c r="D242" s="22">
        <f>IF(Notes!$B$2="June",ROUND('Budget by Source'!D242/10,0)+Q242,ROUND('Budget by Source'!D242/10,0))</f>
        <v>107556</v>
      </c>
      <c r="E242" s="22">
        <f>IF(Notes!$B$2="June",ROUND('Budget by Source'!E242/10,0)+R242,ROUND('Budget by Source'!E242/10,0))</f>
        <v>15970</v>
      </c>
      <c r="F242" s="22">
        <f>IF(Notes!$B$2="June",ROUND('Budget by Source'!F242/10,0)+S242,ROUND('Budget by Source'!F242/10,0))</f>
        <v>11696</v>
      </c>
      <c r="G242" s="22">
        <f>IF(Notes!$B$2="June",ROUND('Budget by Source'!G242/10,0)+T242,ROUND('Budget by Source'!G242/10,0))</f>
        <v>59310</v>
      </c>
      <c r="H242" s="22">
        <f t="shared" si="9"/>
        <v>1053979</v>
      </c>
      <c r="I242" s="22">
        <f>INDEX(Data[],MATCH($A242,Data[Dist],0),MATCH(I$5,Data[#Headers],0))</f>
        <v>1280017</v>
      </c>
      <c r="K242" s="70">
        <f>INDEX('Payment Total'!$A$7:$H$336,MATCH('Payment by Source'!$A242,'Payment Total'!$A$7:$A$336,0),6)-I242</f>
        <v>0</v>
      </c>
      <c r="P242" s="158">
        <f>INDEX('Budget by Source'!$A$6:$I$335,MATCH('Payment by Source'!$A242,'Budget by Source'!$A$6:$A$335,0),MATCH(P$3,'Budget by Source'!$A$5:$I$5,0))-(ROUND(INDEX('Budget by Source'!$A$6:$I$335,MATCH('Payment by Source'!$A242,'Budget by Source'!$A$6:$A$335,0),MATCH(P$3,'Budget by Source'!$A$5:$I$5,0))/10,0)*10)</f>
        <v>3</v>
      </c>
      <c r="Q242" s="158">
        <f>INDEX('Budget by Source'!$A$6:$I$335,MATCH('Payment by Source'!$A242,'Budget by Source'!$A$6:$A$335,0),MATCH(Q$3,'Budget by Source'!$A$5:$I$5,0))-(ROUND(INDEX('Budget by Source'!$A$6:$I$335,MATCH('Payment by Source'!$A242,'Budget by Source'!$A$6:$A$335,0),MATCH(Q$3,'Budget by Source'!$A$5:$I$5,0))/10,0)*10)</f>
        <v>-2</v>
      </c>
      <c r="R242" s="158">
        <f>INDEX('Budget by Source'!$A$6:$I$335,MATCH('Payment by Source'!$A242,'Budget by Source'!$A$6:$A$335,0),MATCH(R$3,'Budget by Source'!$A$5:$I$5,0))-(ROUND(INDEX('Budget by Source'!$A$6:$I$335,MATCH('Payment by Source'!$A242,'Budget by Source'!$A$6:$A$335,0),MATCH(R$3,'Budget by Source'!$A$5:$I$5,0))/10,0)*10)</f>
        <v>4</v>
      </c>
      <c r="S242" s="158">
        <f>INDEX('Budget by Source'!$A$6:$I$335,MATCH('Payment by Source'!$A242,'Budget by Source'!$A$6:$A$335,0),MATCH(S$3,'Budget by Source'!$A$5:$I$5,0))-(ROUND(INDEX('Budget by Source'!$A$6:$I$335,MATCH('Payment by Source'!$A242,'Budget by Source'!$A$6:$A$335,0),MATCH(S$3,'Budget by Source'!$A$5:$I$5,0))/10,0)*10)</f>
        <v>-1</v>
      </c>
      <c r="T242" s="158">
        <f>INDEX('Budget by Source'!$A$6:$I$335,MATCH('Payment by Source'!$A242,'Budget by Source'!$A$6:$A$335,0),MATCH(T$3,'Budget by Source'!$A$5:$I$5,0))-(ROUND(INDEX('Budget by Source'!$A$6:$I$335,MATCH('Payment by Source'!$A242,'Budget by Source'!$A$6:$A$335,0),MATCH(T$3,'Budget by Source'!$A$5:$I$5,0))/10,0)*10)</f>
        <v>-4</v>
      </c>
      <c r="U242" s="159">
        <f>INDEX('Budget by Source'!$A$6:$I$335,MATCH('Payment by Source'!$A242,'Budget by Source'!$A$6:$A$335,0),MATCH(U$3,'Budget by Source'!$A$5:$I$5,0))</f>
        <v>10569271</v>
      </c>
      <c r="V242" s="156">
        <f t="shared" si="10"/>
        <v>1056927</v>
      </c>
      <c r="W242" s="156">
        <f t="shared" si="11"/>
        <v>10569270</v>
      </c>
    </row>
    <row r="243" spans="1:23" x14ac:dyDescent="0.2">
      <c r="A243" s="23" t="str">
        <f>Data!B239</f>
        <v>5250</v>
      </c>
      <c r="B243" s="21" t="str">
        <f>INDEX(Data[],MATCH($A243,Data[Dist],0),MATCH(B$5,Data[#Headers],0))</f>
        <v>Pleasant Valley</v>
      </c>
      <c r="C243" s="22">
        <f>IF(Notes!$B$2="June",ROUND('Budget by Source'!C243/10,0)+P243,ROUND('Budget by Source'!C243/10,0))</f>
        <v>58648</v>
      </c>
      <c r="D243" s="22">
        <f>IF(Notes!$B$2="June",ROUND('Budget by Source'!D243/10,0)+Q243,ROUND('Budget by Source'!D243/10,0))</f>
        <v>266049</v>
      </c>
      <c r="E243" s="22">
        <f>IF(Notes!$B$2="June",ROUND('Budget by Source'!E243/10,0)+R243,ROUND('Budget by Source'!E243/10,0))</f>
        <v>27940</v>
      </c>
      <c r="F243" s="22">
        <f>IF(Notes!$B$2="June",ROUND('Budget by Source'!F243/10,0)+S243,ROUND('Budget by Source'!F243/10,0))</f>
        <v>30701</v>
      </c>
      <c r="G243" s="22">
        <f>IF(Notes!$B$2="June",ROUND('Budget by Source'!G243/10,0)+T243,ROUND('Budget by Source'!G243/10,0))</f>
        <v>160720</v>
      </c>
      <c r="H243" s="22">
        <f t="shared" si="9"/>
        <v>2169881</v>
      </c>
      <c r="I243" s="22">
        <f>INDEX(Data[],MATCH($A243,Data[Dist],0),MATCH(I$5,Data[#Headers],0))</f>
        <v>2713939</v>
      </c>
      <c r="K243" s="70">
        <f>INDEX('Payment Total'!$A$7:$H$336,MATCH('Payment by Source'!$A243,'Payment Total'!$A$7:$A$336,0),6)-I243</f>
        <v>0</v>
      </c>
      <c r="P243" s="158">
        <f>INDEX('Budget by Source'!$A$6:$I$335,MATCH('Payment by Source'!$A243,'Budget by Source'!$A$6:$A$335,0),MATCH(P$3,'Budget by Source'!$A$5:$I$5,0))-(ROUND(INDEX('Budget by Source'!$A$6:$I$335,MATCH('Payment by Source'!$A243,'Budget by Source'!$A$6:$A$335,0),MATCH(P$3,'Budget by Source'!$A$5:$I$5,0))/10,0)*10)</f>
        <v>-2</v>
      </c>
      <c r="Q243" s="158">
        <f>INDEX('Budget by Source'!$A$6:$I$335,MATCH('Payment by Source'!$A243,'Budget by Source'!$A$6:$A$335,0),MATCH(Q$3,'Budget by Source'!$A$5:$I$5,0))-(ROUND(INDEX('Budget by Source'!$A$6:$I$335,MATCH('Payment by Source'!$A243,'Budget by Source'!$A$6:$A$335,0),MATCH(Q$3,'Budget by Source'!$A$5:$I$5,0))/10,0)*10)</f>
        <v>-2</v>
      </c>
      <c r="R243" s="158">
        <f>INDEX('Budget by Source'!$A$6:$I$335,MATCH('Payment by Source'!$A243,'Budget by Source'!$A$6:$A$335,0),MATCH(R$3,'Budget by Source'!$A$5:$I$5,0))-(ROUND(INDEX('Budget by Source'!$A$6:$I$335,MATCH('Payment by Source'!$A243,'Budget by Source'!$A$6:$A$335,0),MATCH(R$3,'Budget by Source'!$A$5:$I$5,0))/10,0)*10)</f>
        <v>-5</v>
      </c>
      <c r="S243" s="158">
        <f>INDEX('Budget by Source'!$A$6:$I$335,MATCH('Payment by Source'!$A243,'Budget by Source'!$A$6:$A$335,0),MATCH(S$3,'Budget by Source'!$A$5:$I$5,0))-(ROUND(INDEX('Budget by Source'!$A$6:$I$335,MATCH('Payment by Source'!$A243,'Budget by Source'!$A$6:$A$335,0),MATCH(S$3,'Budget by Source'!$A$5:$I$5,0))/10,0)*10)</f>
        <v>0</v>
      </c>
      <c r="T243" s="158">
        <f>INDEX('Budget by Source'!$A$6:$I$335,MATCH('Payment by Source'!$A243,'Budget by Source'!$A$6:$A$335,0),MATCH(T$3,'Budget by Source'!$A$5:$I$5,0))-(ROUND(INDEX('Budget by Source'!$A$6:$I$335,MATCH('Payment by Source'!$A243,'Budget by Source'!$A$6:$A$335,0),MATCH(T$3,'Budget by Source'!$A$5:$I$5,0))/10,0)*10)</f>
        <v>4</v>
      </c>
      <c r="U243" s="159">
        <f>INDEX('Budget by Source'!$A$6:$I$335,MATCH('Payment by Source'!$A243,'Budget by Source'!$A$6:$A$335,0),MATCH(U$3,'Budget by Source'!$A$5:$I$5,0))</f>
        <v>21780755</v>
      </c>
      <c r="V243" s="156">
        <f t="shared" si="10"/>
        <v>2178076</v>
      </c>
      <c r="W243" s="156">
        <f t="shared" si="11"/>
        <v>21780760</v>
      </c>
    </row>
    <row r="244" spans="1:23" x14ac:dyDescent="0.2">
      <c r="A244" s="23" t="str">
        <f>Data!B240</f>
        <v>5256</v>
      </c>
      <c r="B244" s="21" t="str">
        <f>INDEX(Data[],MATCH($A244,Data[Dist],0),MATCH(B$5,Data[#Headers],0))</f>
        <v>Pleasantville</v>
      </c>
      <c r="C244" s="22">
        <f>IF(Notes!$B$2="June",ROUND('Budget by Source'!C244/10,0)+P244,ROUND('Budget by Source'!C244/10,0))</f>
        <v>14075</v>
      </c>
      <c r="D244" s="22">
        <f>IF(Notes!$B$2="June",ROUND('Budget by Source'!D244/10,0)+Q244,ROUND('Budget by Source'!D244/10,0))</f>
        <v>40424</v>
      </c>
      <c r="E244" s="22">
        <f>IF(Notes!$B$2="June",ROUND('Budget by Source'!E244/10,0)+R244,ROUND('Budget by Source'!E244/10,0))</f>
        <v>5336</v>
      </c>
      <c r="F244" s="22">
        <f>IF(Notes!$B$2="June",ROUND('Budget by Source'!F244/10,0)+S244,ROUND('Budget by Source'!F244/10,0))</f>
        <v>4249</v>
      </c>
      <c r="G244" s="22">
        <f>IF(Notes!$B$2="June",ROUND('Budget by Source'!G244/10,0)+T244,ROUND('Budget by Source'!G244/10,0))</f>
        <v>22785</v>
      </c>
      <c r="H244" s="22">
        <f t="shared" si="9"/>
        <v>372821</v>
      </c>
      <c r="I244" s="22">
        <f>INDEX(Data[],MATCH($A244,Data[Dist],0),MATCH(I$5,Data[#Headers],0))</f>
        <v>459690</v>
      </c>
      <c r="K244" s="70">
        <f>INDEX('Payment Total'!$A$7:$H$336,MATCH('Payment by Source'!$A244,'Payment Total'!$A$7:$A$336,0),6)-I244</f>
        <v>0</v>
      </c>
      <c r="P244" s="158">
        <f>INDEX('Budget by Source'!$A$6:$I$335,MATCH('Payment by Source'!$A244,'Budget by Source'!$A$6:$A$335,0),MATCH(P$3,'Budget by Source'!$A$5:$I$5,0))-(ROUND(INDEX('Budget by Source'!$A$6:$I$335,MATCH('Payment by Source'!$A244,'Budget by Source'!$A$6:$A$335,0),MATCH(P$3,'Budget by Source'!$A$5:$I$5,0))/10,0)*10)</f>
        <v>-1</v>
      </c>
      <c r="Q244" s="158">
        <f>INDEX('Budget by Source'!$A$6:$I$335,MATCH('Payment by Source'!$A244,'Budget by Source'!$A$6:$A$335,0),MATCH(Q$3,'Budget by Source'!$A$5:$I$5,0))-(ROUND(INDEX('Budget by Source'!$A$6:$I$335,MATCH('Payment by Source'!$A244,'Budget by Source'!$A$6:$A$335,0),MATCH(Q$3,'Budget by Source'!$A$5:$I$5,0))/10,0)*10)</f>
        <v>2</v>
      </c>
      <c r="R244" s="158">
        <f>INDEX('Budget by Source'!$A$6:$I$335,MATCH('Payment by Source'!$A244,'Budget by Source'!$A$6:$A$335,0),MATCH(R$3,'Budget by Source'!$A$5:$I$5,0))-(ROUND(INDEX('Budget by Source'!$A$6:$I$335,MATCH('Payment by Source'!$A244,'Budget by Source'!$A$6:$A$335,0),MATCH(R$3,'Budget by Source'!$A$5:$I$5,0))/10,0)*10)</f>
        <v>-4</v>
      </c>
      <c r="S244" s="158">
        <f>INDEX('Budget by Source'!$A$6:$I$335,MATCH('Payment by Source'!$A244,'Budget by Source'!$A$6:$A$335,0),MATCH(S$3,'Budget by Source'!$A$5:$I$5,0))-(ROUND(INDEX('Budget by Source'!$A$6:$I$335,MATCH('Payment by Source'!$A244,'Budget by Source'!$A$6:$A$335,0),MATCH(S$3,'Budget by Source'!$A$5:$I$5,0))/10,0)*10)</f>
        <v>-3</v>
      </c>
      <c r="T244" s="158">
        <f>INDEX('Budget by Source'!$A$6:$I$335,MATCH('Payment by Source'!$A244,'Budget by Source'!$A$6:$A$335,0),MATCH(T$3,'Budget by Source'!$A$5:$I$5,0))-(ROUND(INDEX('Budget by Source'!$A$6:$I$335,MATCH('Payment by Source'!$A244,'Budget by Source'!$A$6:$A$335,0),MATCH(T$3,'Budget by Source'!$A$5:$I$5,0))/10,0)*10)</f>
        <v>2</v>
      </c>
      <c r="U244" s="159">
        <f>INDEX('Budget by Source'!$A$6:$I$335,MATCH('Payment by Source'!$A244,'Budget by Source'!$A$6:$A$335,0),MATCH(U$3,'Budget by Source'!$A$5:$I$5,0))</f>
        <v>3739794</v>
      </c>
      <c r="V244" s="156">
        <f t="shared" si="10"/>
        <v>373979</v>
      </c>
      <c r="W244" s="156">
        <f t="shared" si="11"/>
        <v>3739790</v>
      </c>
    </row>
    <row r="245" spans="1:23" x14ac:dyDescent="0.2">
      <c r="A245" s="23" t="str">
        <f>Data!B241</f>
        <v>5283</v>
      </c>
      <c r="B245" s="21" t="str">
        <f>INDEX(Data[],MATCH($A245,Data[Dist],0),MATCH(B$5,Data[#Headers],0))</f>
        <v>Pocahontas Area</v>
      </c>
      <c r="C245" s="22">
        <f>IF(Notes!$B$2="June",ROUND('Budget by Source'!C245/10,0)+P245,ROUND('Budget by Source'!C245/10,0))</f>
        <v>16421</v>
      </c>
      <c r="D245" s="22">
        <f>IF(Notes!$B$2="June",ROUND('Budget by Source'!D245/10,0)+Q245,ROUND('Budget by Source'!D245/10,0))</f>
        <v>47032</v>
      </c>
      <c r="E245" s="22">
        <f>IF(Notes!$B$2="June",ROUND('Budget by Source'!E245/10,0)+R245,ROUND('Budget by Source'!E245/10,0))</f>
        <v>4312</v>
      </c>
      <c r="F245" s="22">
        <f>IF(Notes!$B$2="June",ROUND('Budget by Source'!F245/10,0)+S245,ROUND('Budget by Source'!F245/10,0))</f>
        <v>5895</v>
      </c>
      <c r="G245" s="22">
        <f>IF(Notes!$B$2="June",ROUND('Budget by Source'!G245/10,0)+T245,ROUND('Budget by Source'!G245/10,0))</f>
        <v>22471</v>
      </c>
      <c r="H245" s="22">
        <f t="shared" si="9"/>
        <v>135071</v>
      </c>
      <c r="I245" s="22">
        <f>INDEX(Data[],MATCH($A245,Data[Dist],0),MATCH(I$5,Data[#Headers],0))</f>
        <v>231202</v>
      </c>
      <c r="K245" s="70">
        <f>INDEX('Payment Total'!$A$7:$H$336,MATCH('Payment by Source'!$A245,'Payment Total'!$A$7:$A$336,0),6)-I245</f>
        <v>0</v>
      </c>
      <c r="P245" s="158">
        <f>INDEX('Budget by Source'!$A$6:$I$335,MATCH('Payment by Source'!$A245,'Budget by Source'!$A$6:$A$335,0),MATCH(P$3,'Budget by Source'!$A$5:$I$5,0))-(ROUND(INDEX('Budget by Source'!$A$6:$I$335,MATCH('Payment by Source'!$A245,'Budget by Source'!$A$6:$A$335,0),MATCH(P$3,'Budget by Source'!$A$5:$I$5,0))/10,0)*10)</f>
        <v>-1</v>
      </c>
      <c r="Q245" s="158">
        <f>INDEX('Budget by Source'!$A$6:$I$335,MATCH('Payment by Source'!$A245,'Budget by Source'!$A$6:$A$335,0),MATCH(Q$3,'Budget by Source'!$A$5:$I$5,0))-(ROUND(INDEX('Budget by Source'!$A$6:$I$335,MATCH('Payment by Source'!$A245,'Budget by Source'!$A$6:$A$335,0),MATCH(Q$3,'Budget by Source'!$A$5:$I$5,0))/10,0)*10)</f>
        <v>-2</v>
      </c>
      <c r="R245" s="158">
        <f>INDEX('Budget by Source'!$A$6:$I$335,MATCH('Payment by Source'!$A245,'Budget by Source'!$A$6:$A$335,0),MATCH(R$3,'Budget by Source'!$A$5:$I$5,0))-(ROUND(INDEX('Budget by Source'!$A$6:$I$335,MATCH('Payment by Source'!$A245,'Budget by Source'!$A$6:$A$335,0),MATCH(R$3,'Budget by Source'!$A$5:$I$5,0))/10,0)*10)</f>
        <v>2</v>
      </c>
      <c r="S245" s="158">
        <f>INDEX('Budget by Source'!$A$6:$I$335,MATCH('Payment by Source'!$A245,'Budget by Source'!$A$6:$A$335,0),MATCH(S$3,'Budget by Source'!$A$5:$I$5,0))-(ROUND(INDEX('Budget by Source'!$A$6:$I$335,MATCH('Payment by Source'!$A245,'Budget by Source'!$A$6:$A$335,0),MATCH(S$3,'Budget by Source'!$A$5:$I$5,0))/10,0)*10)</f>
        <v>2</v>
      </c>
      <c r="T245" s="158">
        <f>INDEX('Budget by Source'!$A$6:$I$335,MATCH('Payment by Source'!$A245,'Budget by Source'!$A$6:$A$335,0),MATCH(T$3,'Budget by Source'!$A$5:$I$5,0))-(ROUND(INDEX('Budget by Source'!$A$6:$I$335,MATCH('Payment by Source'!$A245,'Budget by Source'!$A$6:$A$335,0),MATCH(T$3,'Budget by Source'!$A$5:$I$5,0))/10,0)*10)</f>
        <v>-3</v>
      </c>
      <c r="U245" s="159">
        <f>INDEX('Budget by Source'!$A$6:$I$335,MATCH('Payment by Source'!$A245,'Budget by Source'!$A$6:$A$335,0),MATCH(U$3,'Budget by Source'!$A$5:$I$5,0))</f>
        <v>1362066</v>
      </c>
      <c r="V245" s="156">
        <f t="shared" si="10"/>
        <v>136207</v>
      </c>
      <c r="W245" s="156">
        <f t="shared" si="11"/>
        <v>1362070</v>
      </c>
    </row>
    <row r="246" spans="1:23" x14ac:dyDescent="0.2">
      <c r="A246" s="23" t="str">
        <f>Data!B242</f>
        <v>5310</v>
      </c>
      <c r="B246" s="21" t="str">
        <f>INDEX(Data[],MATCH($A246,Data[Dist],0),MATCH(B$5,Data[#Headers],0))</f>
        <v>Postville</v>
      </c>
      <c r="C246" s="22">
        <f>IF(Notes!$B$2="June",ROUND('Budget by Source'!C246/10,0)+P246,ROUND('Budget by Source'!C246/10,0))</f>
        <v>5701</v>
      </c>
      <c r="D246" s="22">
        <f>IF(Notes!$B$2="June",ROUND('Budget by Source'!D246/10,0)+Q246,ROUND('Budget by Source'!D246/10,0))</f>
        <v>43782</v>
      </c>
      <c r="E246" s="22">
        <f>IF(Notes!$B$2="June",ROUND('Budget by Source'!E246/10,0)+R246,ROUND('Budget by Source'!E246/10,0))</f>
        <v>6711</v>
      </c>
      <c r="F246" s="22">
        <f>IF(Notes!$B$2="June",ROUND('Budget by Source'!F246/10,0)+S246,ROUND('Budget by Source'!F246/10,0))</f>
        <v>4308</v>
      </c>
      <c r="G246" s="22">
        <f>IF(Notes!$B$2="June",ROUND('Budget by Source'!G246/10,0)+T246,ROUND('Budget by Source'!G246/10,0))</f>
        <v>23863</v>
      </c>
      <c r="H246" s="22">
        <f t="shared" si="9"/>
        <v>425140</v>
      </c>
      <c r="I246" s="22">
        <f>INDEX(Data[],MATCH($A246,Data[Dist],0),MATCH(I$5,Data[#Headers],0))</f>
        <v>509505</v>
      </c>
      <c r="K246" s="70">
        <f>INDEX('Payment Total'!$A$7:$H$336,MATCH('Payment by Source'!$A246,'Payment Total'!$A$7:$A$336,0),6)-I246</f>
        <v>0</v>
      </c>
      <c r="P246" s="158">
        <f>INDEX('Budget by Source'!$A$6:$I$335,MATCH('Payment by Source'!$A246,'Budget by Source'!$A$6:$A$335,0),MATCH(P$3,'Budget by Source'!$A$5:$I$5,0))-(ROUND(INDEX('Budget by Source'!$A$6:$I$335,MATCH('Payment by Source'!$A246,'Budget by Source'!$A$6:$A$335,0),MATCH(P$3,'Budget by Source'!$A$5:$I$5,0))/10,0)*10)</f>
        <v>4</v>
      </c>
      <c r="Q246" s="158">
        <f>INDEX('Budget by Source'!$A$6:$I$335,MATCH('Payment by Source'!$A246,'Budget by Source'!$A$6:$A$335,0),MATCH(Q$3,'Budget by Source'!$A$5:$I$5,0))-(ROUND(INDEX('Budget by Source'!$A$6:$I$335,MATCH('Payment by Source'!$A246,'Budget by Source'!$A$6:$A$335,0),MATCH(Q$3,'Budget by Source'!$A$5:$I$5,0))/10,0)*10)</f>
        <v>2</v>
      </c>
      <c r="R246" s="158">
        <f>INDEX('Budget by Source'!$A$6:$I$335,MATCH('Payment by Source'!$A246,'Budget by Source'!$A$6:$A$335,0),MATCH(R$3,'Budget by Source'!$A$5:$I$5,0))-(ROUND(INDEX('Budget by Source'!$A$6:$I$335,MATCH('Payment by Source'!$A246,'Budget by Source'!$A$6:$A$335,0),MATCH(R$3,'Budget by Source'!$A$5:$I$5,0))/10,0)*10)</f>
        <v>-1</v>
      </c>
      <c r="S246" s="158">
        <f>INDEX('Budget by Source'!$A$6:$I$335,MATCH('Payment by Source'!$A246,'Budget by Source'!$A$6:$A$335,0),MATCH(S$3,'Budget by Source'!$A$5:$I$5,0))-(ROUND(INDEX('Budget by Source'!$A$6:$I$335,MATCH('Payment by Source'!$A246,'Budget by Source'!$A$6:$A$335,0),MATCH(S$3,'Budget by Source'!$A$5:$I$5,0))/10,0)*10)</f>
        <v>-4</v>
      </c>
      <c r="T246" s="158">
        <f>INDEX('Budget by Source'!$A$6:$I$335,MATCH('Payment by Source'!$A246,'Budget by Source'!$A$6:$A$335,0),MATCH(T$3,'Budget by Source'!$A$5:$I$5,0))-(ROUND(INDEX('Budget by Source'!$A$6:$I$335,MATCH('Payment by Source'!$A246,'Budget by Source'!$A$6:$A$335,0),MATCH(T$3,'Budget by Source'!$A$5:$I$5,0))/10,0)*10)</f>
        <v>-1</v>
      </c>
      <c r="U246" s="159">
        <f>INDEX('Budget by Source'!$A$6:$I$335,MATCH('Payment by Source'!$A246,'Budget by Source'!$A$6:$A$335,0),MATCH(U$3,'Budget by Source'!$A$5:$I$5,0))</f>
        <v>4263586</v>
      </c>
      <c r="V246" s="156">
        <f t="shared" si="10"/>
        <v>426359</v>
      </c>
      <c r="W246" s="156">
        <f t="shared" si="11"/>
        <v>4263590</v>
      </c>
    </row>
    <row r="247" spans="1:23" x14ac:dyDescent="0.2">
      <c r="A247" s="23" t="str">
        <f>Data!B243</f>
        <v>5319</v>
      </c>
      <c r="B247" s="21" t="str">
        <f>INDEX(Data[],MATCH($A247,Data[Dist],0),MATCH(B$5,Data[#Headers],0))</f>
        <v>PCM</v>
      </c>
      <c r="C247" s="22">
        <f>IF(Notes!$B$2="June",ROUND('Budget by Source'!C247/10,0)+P247,ROUND('Budget by Source'!C247/10,0))</f>
        <v>16758</v>
      </c>
      <c r="D247" s="22">
        <f>IF(Notes!$B$2="June",ROUND('Budget by Source'!D247/10,0)+Q247,ROUND('Budget by Source'!D247/10,0))</f>
        <v>59043</v>
      </c>
      <c r="E247" s="22">
        <f>IF(Notes!$B$2="June",ROUND('Budget by Source'!E247/10,0)+R247,ROUND('Budget by Source'!E247/10,0))</f>
        <v>6510</v>
      </c>
      <c r="F247" s="22">
        <f>IF(Notes!$B$2="June",ROUND('Budget by Source'!F247/10,0)+S247,ROUND('Budget by Source'!F247/10,0))</f>
        <v>6347</v>
      </c>
      <c r="G247" s="22">
        <f>IF(Notes!$B$2="June",ROUND('Budget by Source'!G247/10,0)+T247,ROUND('Budget by Source'!G247/10,0))</f>
        <v>34081</v>
      </c>
      <c r="H247" s="22">
        <f t="shared" si="9"/>
        <v>521838</v>
      </c>
      <c r="I247" s="22">
        <f>INDEX(Data[],MATCH($A247,Data[Dist],0),MATCH(I$5,Data[#Headers],0))</f>
        <v>644577</v>
      </c>
      <c r="K247" s="70">
        <f>INDEX('Payment Total'!$A$7:$H$336,MATCH('Payment by Source'!$A247,'Payment Total'!$A$7:$A$336,0),6)-I247</f>
        <v>0</v>
      </c>
      <c r="P247" s="158">
        <f>INDEX('Budget by Source'!$A$6:$I$335,MATCH('Payment by Source'!$A247,'Budget by Source'!$A$6:$A$335,0),MATCH(P$3,'Budget by Source'!$A$5:$I$5,0))-(ROUND(INDEX('Budget by Source'!$A$6:$I$335,MATCH('Payment by Source'!$A247,'Budget by Source'!$A$6:$A$335,0),MATCH(P$3,'Budget by Source'!$A$5:$I$5,0))/10,0)*10)</f>
        <v>1</v>
      </c>
      <c r="Q247" s="158">
        <f>INDEX('Budget by Source'!$A$6:$I$335,MATCH('Payment by Source'!$A247,'Budget by Source'!$A$6:$A$335,0),MATCH(Q$3,'Budget by Source'!$A$5:$I$5,0))-(ROUND(INDEX('Budget by Source'!$A$6:$I$335,MATCH('Payment by Source'!$A247,'Budget by Source'!$A$6:$A$335,0),MATCH(Q$3,'Budget by Source'!$A$5:$I$5,0))/10,0)*10)</f>
        <v>4</v>
      </c>
      <c r="R247" s="158">
        <f>INDEX('Budget by Source'!$A$6:$I$335,MATCH('Payment by Source'!$A247,'Budget by Source'!$A$6:$A$335,0),MATCH(R$3,'Budget by Source'!$A$5:$I$5,0))-(ROUND(INDEX('Budget by Source'!$A$6:$I$335,MATCH('Payment by Source'!$A247,'Budget by Source'!$A$6:$A$335,0),MATCH(R$3,'Budget by Source'!$A$5:$I$5,0))/10,0)*10)</f>
        <v>1</v>
      </c>
      <c r="S247" s="158">
        <f>INDEX('Budget by Source'!$A$6:$I$335,MATCH('Payment by Source'!$A247,'Budget by Source'!$A$6:$A$335,0),MATCH(S$3,'Budget by Source'!$A$5:$I$5,0))-(ROUND(INDEX('Budget by Source'!$A$6:$I$335,MATCH('Payment by Source'!$A247,'Budget by Source'!$A$6:$A$335,0),MATCH(S$3,'Budget by Source'!$A$5:$I$5,0))/10,0)*10)</f>
        <v>-5</v>
      </c>
      <c r="T247" s="158">
        <f>INDEX('Budget by Source'!$A$6:$I$335,MATCH('Payment by Source'!$A247,'Budget by Source'!$A$6:$A$335,0),MATCH(T$3,'Budget by Source'!$A$5:$I$5,0))-(ROUND(INDEX('Budget by Source'!$A$6:$I$335,MATCH('Payment by Source'!$A247,'Budget by Source'!$A$6:$A$335,0),MATCH(T$3,'Budget by Source'!$A$5:$I$5,0))/10,0)*10)</f>
        <v>1</v>
      </c>
      <c r="U247" s="159">
        <f>INDEX('Budget by Source'!$A$6:$I$335,MATCH('Payment by Source'!$A247,'Budget by Source'!$A$6:$A$335,0),MATCH(U$3,'Budget by Source'!$A$5:$I$5,0))</f>
        <v>5235791</v>
      </c>
      <c r="V247" s="156">
        <f t="shared" si="10"/>
        <v>523579</v>
      </c>
      <c r="W247" s="156">
        <f t="shared" si="11"/>
        <v>5235790</v>
      </c>
    </row>
    <row r="248" spans="1:23" x14ac:dyDescent="0.2">
      <c r="A248" s="23" t="str">
        <f>Data!B244</f>
        <v>5323</v>
      </c>
      <c r="B248" s="21" t="str">
        <f>INDEX(Data[],MATCH($A248,Data[Dist],0),MATCH(B$5,Data[#Headers],0))</f>
        <v>Prairie Valley</v>
      </c>
      <c r="C248" s="22">
        <f>IF(Notes!$B$2="June",ROUND('Budget by Source'!C248/10,0)+P248,ROUND('Budget by Source'!C248/10,0))</f>
        <v>10056</v>
      </c>
      <c r="D248" s="22">
        <f>IF(Notes!$B$2="June",ROUND('Budget by Source'!D248/10,0)+Q248,ROUND('Budget by Source'!D248/10,0))</f>
        <v>37496</v>
      </c>
      <c r="E248" s="22">
        <f>IF(Notes!$B$2="June",ROUND('Budget by Source'!E248/10,0)+R248,ROUND('Budget by Source'!E248/10,0))</f>
        <v>3952</v>
      </c>
      <c r="F248" s="22">
        <f>IF(Notes!$B$2="June",ROUND('Budget by Source'!F248/10,0)+S248,ROUND('Budget by Source'!F248/10,0))</f>
        <v>4504</v>
      </c>
      <c r="G248" s="22">
        <f>IF(Notes!$B$2="June",ROUND('Budget by Source'!G248/10,0)+T248,ROUND('Budget by Source'!G248/10,0))</f>
        <v>19072</v>
      </c>
      <c r="H248" s="22">
        <f t="shared" si="9"/>
        <v>212986</v>
      </c>
      <c r="I248" s="22">
        <f>INDEX(Data[],MATCH($A248,Data[Dist],0),MATCH(I$5,Data[#Headers],0))</f>
        <v>288066</v>
      </c>
      <c r="K248" s="70">
        <f>INDEX('Payment Total'!$A$7:$H$336,MATCH('Payment by Source'!$A248,'Payment Total'!$A$7:$A$336,0),6)-I248</f>
        <v>0</v>
      </c>
      <c r="P248" s="158">
        <f>INDEX('Budget by Source'!$A$6:$I$335,MATCH('Payment by Source'!$A248,'Budget by Source'!$A$6:$A$335,0),MATCH(P$3,'Budget by Source'!$A$5:$I$5,0))-(ROUND(INDEX('Budget by Source'!$A$6:$I$335,MATCH('Payment by Source'!$A248,'Budget by Source'!$A$6:$A$335,0),MATCH(P$3,'Budget by Source'!$A$5:$I$5,0))/10,0)*10)</f>
        <v>2</v>
      </c>
      <c r="Q248" s="158">
        <f>INDEX('Budget by Source'!$A$6:$I$335,MATCH('Payment by Source'!$A248,'Budget by Source'!$A$6:$A$335,0),MATCH(Q$3,'Budget by Source'!$A$5:$I$5,0))-(ROUND(INDEX('Budget by Source'!$A$6:$I$335,MATCH('Payment by Source'!$A248,'Budget by Source'!$A$6:$A$335,0),MATCH(Q$3,'Budget by Source'!$A$5:$I$5,0))/10,0)*10)</f>
        <v>3</v>
      </c>
      <c r="R248" s="158">
        <f>INDEX('Budget by Source'!$A$6:$I$335,MATCH('Payment by Source'!$A248,'Budget by Source'!$A$6:$A$335,0),MATCH(R$3,'Budget by Source'!$A$5:$I$5,0))-(ROUND(INDEX('Budget by Source'!$A$6:$I$335,MATCH('Payment by Source'!$A248,'Budget by Source'!$A$6:$A$335,0),MATCH(R$3,'Budget by Source'!$A$5:$I$5,0))/10,0)*10)</f>
        <v>-5</v>
      </c>
      <c r="S248" s="158">
        <f>INDEX('Budget by Source'!$A$6:$I$335,MATCH('Payment by Source'!$A248,'Budget by Source'!$A$6:$A$335,0),MATCH(S$3,'Budget by Source'!$A$5:$I$5,0))-(ROUND(INDEX('Budget by Source'!$A$6:$I$335,MATCH('Payment by Source'!$A248,'Budget by Source'!$A$6:$A$335,0),MATCH(S$3,'Budget by Source'!$A$5:$I$5,0))/10,0)*10)</f>
        <v>-2</v>
      </c>
      <c r="T248" s="158">
        <f>INDEX('Budget by Source'!$A$6:$I$335,MATCH('Payment by Source'!$A248,'Budget by Source'!$A$6:$A$335,0),MATCH(T$3,'Budget by Source'!$A$5:$I$5,0))-(ROUND(INDEX('Budget by Source'!$A$6:$I$335,MATCH('Payment by Source'!$A248,'Budget by Source'!$A$6:$A$335,0),MATCH(T$3,'Budget by Source'!$A$5:$I$5,0))/10,0)*10)</f>
        <v>-1</v>
      </c>
      <c r="U248" s="159">
        <f>INDEX('Budget by Source'!$A$6:$I$335,MATCH('Payment by Source'!$A248,'Budget by Source'!$A$6:$A$335,0),MATCH(U$3,'Budget by Source'!$A$5:$I$5,0))</f>
        <v>2139473</v>
      </c>
      <c r="V248" s="156">
        <f t="shared" si="10"/>
        <v>213947</v>
      </c>
      <c r="W248" s="156">
        <f t="shared" si="11"/>
        <v>2139470</v>
      </c>
    </row>
    <row r="249" spans="1:23" x14ac:dyDescent="0.2">
      <c r="A249" s="23" t="str">
        <f>Data!B245</f>
        <v>5463</v>
      </c>
      <c r="B249" s="21" t="str">
        <f>INDEX(Data[],MATCH($A249,Data[Dist],0),MATCH(B$5,Data[#Headers],0))</f>
        <v>Red Oak</v>
      </c>
      <c r="C249" s="22">
        <f>IF(Notes!$B$2="June",ROUND('Budget by Source'!C249/10,0)+P249,ROUND('Budget by Source'!C249/10,0))</f>
        <v>18431</v>
      </c>
      <c r="D249" s="22">
        <f>IF(Notes!$B$2="June",ROUND('Budget by Source'!D249/10,0)+Q249,ROUND('Budget by Source'!D249/10,0))</f>
        <v>65285</v>
      </c>
      <c r="E249" s="22">
        <f>IF(Notes!$B$2="June",ROUND('Budget by Source'!E249/10,0)+R249,ROUND('Budget by Source'!E249/10,0))</f>
        <v>8756</v>
      </c>
      <c r="F249" s="22">
        <f>IF(Notes!$B$2="June",ROUND('Budget by Source'!F249/10,0)+S249,ROUND('Budget by Source'!F249/10,0))</f>
        <v>7220</v>
      </c>
      <c r="G249" s="22">
        <f>IF(Notes!$B$2="June",ROUND('Budget by Source'!G249/10,0)+T249,ROUND('Budget by Source'!G249/10,0))</f>
        <v>35890</v>
      </c>
      <c r="H249" s="22">
        <f t="shared" si="9"/>
        <v>501099</v>
      </c>
      <c r="I249" s="22">
        <f>INDEX(Data[],MATCH($A249,Data[Dist],0),MATCH(I$5,Data[#Headers],0))</f>
        <v>636681</v>
      </c>
      <c r="K249" s="70">
        <f>INDEX('Payment Total'!$A$7:$H$336,MATCH('Payment by Source'!$A249,'Payment Total'!$A$7:$A$336,0),6)-I249</f>
        <v>0</v>
      </c>
      <c r="P249" s="158">
        <f>INDEX('Budget by Source'!$A$6:$I$335,MATCH('Payment by Source'!$A249,'Budget by Source'!$A$6:$A$335,0),MATCH(P$3,'Budget by Source'!$A$5:$I$5,0))-(ROUND(INDEX('Budget by Source'!$A$6:$I$335,MATCH('Payment by Source'!$A249,'Budget by Source'!$A$6:$A$335,0),MATCH(P$3,'Budget by Source'!$A$5:$I$5,0))/10,0)*10)</f>
        <v>-2</v>
      </c>
      <c r="Q249" s="158">
        <f>INDEX('Budget by Source'!$A$6:$I$335,MATCH('Payment by Source'!$A249,'Budget by Source'!$A$6:$A$335,0),MATCH(Q$3,'Budget by Source'!$A$5:$I$5,0))-(ROUND(INDEX('Budget by Source'!$A$6:$I$335,MATCH('Payment by Source'!$A249,'Budget by Source'!$A$6:$A$335,0),MATCH(Q$3,'Budget by Source'!$A$5:$I$5,0))/10,0)*10)</f>
        <v>3</v>
      </c>
      <c r="R249" s="158">
        <f>INDEX('Budget by Source'!$A$6:$I$335,MATCH('Payment by Source'!$A249,'Budget by Source'!$A$6:$A$335,0),MATCH(R$3,'Budget by Source'!$A$5:$I$5,0))-(ROUND(INDEX('Budget by Source'!$A$6:$I$335,MATCH('Payment by Source'!$A249,'Budget by Source'!$A$6:$A$335,0),MATCH(R$3,'Budget by Source'!$A$5:$I$5,0))/10,0)*10)</f>
        <v>-1</v>
      </c>
      <c r="S249" s="158">
        <f>INDEX('Budget by Source'!$A$6:$I$335,MATCH('Payment by Source'!$A249,'Budget by Source'!$A$6:$A$335,0),MATCH(S$3,'Budget by Source'!$A$5:$I$5,0))-(ROUND(INDEX('Budget by Source'!$A$6:$I$335,MATCH('Payment by Source'!$A249,'Budget by Source'!$A$6:$A$335,0),MATCH(S$3,'Budget by Source'!$A$5:$I$5,0))/10,0)*10)</f>
        <v>-4</v>
      </c>
      <c r="T249" s="158">
        <f>INDEX('Budget by Source'!$A$6:$I$335,MATCH('Payment by Source'!$A249,'Budget by Source'!$A$6:$A$335,0),MATCH(T$3,'Budget by Source'!$A$5:$I$5,0))-(ROUND(INDEX('Budget by Source'!$A$6:$I$335,MATCH('Payment by Source'!$A249,'Budget by Source'!$A$6:$A$335,0),MATCH(T$3,'Budget by Source'!$A$5:$I$5,0))/10,0)*10)</f>
        <v>-3</v>
      </c>
      <c r="U249" s="159">
        <f>INDEX('Budget by Source'!$A$6:$I$335,MATCH('Payment by Source'!$A249,'Budget by Source'!$A$6:$A$335,0),MATCH(U$3,'Budget by Source'!$A$5:$I$5,0))</f>
        <v>5028531</v>
      </c>
      <c r="V249" s="156">
        <f t="shared" si="10"/>
        <v>502853</v>
      </c>
      <c r="W249" s="156">
        <f t="shared" si="11"/>
        <v>5028530</v>
      </c>
    </row>
    <row r="250" spans="1:23" x14ac:dyDescent="0.2">
      <c r="A250" s="23" t="str">
        <f>Data!B246</f>
        <v>5486</v>
      </c>
      <c r="B250" s="21" t="str">
        <f>INDEX(Data[],MATCH($A250,Data[Dist],0),MATCH(B$5,Data[#Headers],0))</f>
        <v>Remsen-Union</v>
      </c>
      <c r="C250" s="22">
        <f>IF(Notes!$B$2="June",ROUND('Budget by Source'!C250/10,0)+P250,ROUND('Budget by Source'!C250/10,0))</f>
        <v>7038</v>
      </c>
      <c r="D250" s="22">
        <f>IF(Notes!$B$2="June",ROUND('Budget by Source'!D250/10,0)+Q250,ROUND('Budget by Source'!D250/10,0))</f>
        <v>22366</v>
      </c>
      <c r="E250" s="22">
        <f>IF(Notes!$B$2="June",ROUND('Budget by Source'!E250/10,0)+R250,ROUND('Budget by Source'!E250/10,0))</f>
        <v>2111</v>
      </c>
      <c r="F250" s="22">
        <f>IF(Notes!$B$2="June",ROUND('Budget by Source'!F250/10,0)+S250,ROUND('Budget by Source'!F250/10,0))</f>
        <v>2263</v>
      </c>
      <c r="G250" s="22">
        <f>IF(Notes!$B$2="June",ROUND('Budget by Source'!G250/10,0)+T250,ROUND('Budget by Source'!G250/10,0))</f>
        <v>11866</v>
      </c>
      <c r="H250" s="22">
        <f t="shared" si="9"/>
        <v>86445</v>
      </c>
      <c r="I250" s="22">
        <f>INDEX(Data[],MATCH($A250,Data[Dist],0),MATCH(I$5,Data[#Headers],0))</f>
        <v>132089</v>
      </c>
      <c r="K250" s="70">
        <f>INDEX('Payment Total'!$A$7:$H$336,MATCH('Payment by Source'!$A250,'Payment Total'!$A$7:$A$336,0),6)-I250</f>
        <v>0</v>
      </c>
      <c r="P250" s="158">
        <f>INDEX('Budget by Source'!$A$6:$I$335,MATCH('Payment by Source'!$A250,'Budget by Source'!$A$6:$A$335,0),MATCH(P$3,'Budget by Source'!$A$5:$I$5,0))-(ROUND(INDEX('Budget by Source'!$A$6:$I$335,MATCH('Payment by Source'!$A250,'Budget by Source'!$A$6:$A$335,0),MATCH(P$3,'Budget by Source'!$A$5:$I$5,0))/10,0)*10)</f>
        <v>0</v>
      </c>
      <c r="Q250" s="158">
        <f>INDEX('Budget by Source'!$A$6:$I$335,MATCH('Payment by Source'!$A250,'Budget by Source'!$A$6:$A$335,0),MATCH(Q$3,'Budget by Source'!$A$5:$I$5,0))-(ROUND(INDEX('Budget by Source'!$A$6:$I$335,MATCH('Payment by Source'!$A250,'Budget by Source'!$A$6:$A$335,0),MATCH(Q$3,'Budget by Source'!$A$5:$I$5,0))/10,0)*10)</f>
        <v>-3</v>
      </c>
      <c r="R250" s="158">
        <f>INDEX('Budget by Source'!$A$6:$I$335,MATCH('Payment by Source'!$A250,'Budget by Source'!$A$6:$A$335,0),MATCH(R$3,'Budget by Source'!$A$5:$I$5,0))-(ROUND(INDEX('Budget by Source'!$A$6:$I$335,MATCH('Payment by Source'!$A250,'Budget by Source'!$A$6:$A$335,0),MATCH(R$3,'Budget by Source'!$A$5:$I$5,0))/10,0)*10)</f>
        <v>0</v>
      </c>
      <c r="S250" s="158">
        <f>INDEX('Budget by Source'!$A$6:$I$335,MATCH('Payment by Source'!$A250,'Budget by Source'!$A$6:$A$335,0),MATCH(S$3,'Budget by Source'!$A$5:$I$5,0))-(ROUND(INDEX('Budget by Source'!$A$6:$I$335,MATCH('Payment by Source'!$A250,'Budget by Source'!$A$6:$A$335,0),MATCH(S$3,'Budget by Source'!$A$5:$I$5,0))/10,0)*10)</f>
        <v>-5</v>
      </c>
      <c r="T250" s="158">
        <f>INDEX('Budget by Source'!$A$6:$I$335,MATCH('Payment by Source'!$A250,'Budget by Source'!$A$6:$A$335,0),MATCH(T$3,'Budget by Source'!$A$5:$I$5,0))-(ROUND(INDEX('Budget by Source'!$A$6:$I$335,MATCH('Payment by Source'!$A250,'Budget by Source'!$A$6:$A$335,0),MATCH(T$3,'Budget by Source'!$A$5:$I$5,0))/10,0)*10)</f>
        <v>-5</v>
      </c>
      <c r="U250" s="159">
        <f>INDEX('Budget by Source'!$A$6:$I$335,MATCH('Payment by Source'!$A250,'Budget by Source'!$A$6:$A$335,0),MATCH(U$3,'Budget by Source'!$A$5:$I$5,0))</f>
        <v>929615</v>
      </c>
      <c r="V250" s="156">
        <f t="shared" si="10"/>
        <v>92962</v>
      </c>
      <c r="W250" s="156">
        <f t="shared" si="11"/>
        <v>929620</v>
      </c>
    </row>
    <row r="251" spans="1:23" x14ac:dyDescent="0.2">
      <c r="A251" s="23" t="str">
        <f>Data!B247</f>
        <v>5508</v>
      </c>
      <c r="B251" s="21" t="str">
        <f>INDEX(Data[],MATCH($A251,Data[Dist],0),MATCH(B$5,Data[#Headers],0))</f>
        <v>Riceville</v>
      </c>
      <c r="C251" s="22">
        <f>IF(Notes!$B$2="June",ROUND('Budget by Source'!C251/10,0)+P251,ROUND('Budget by Source'!C251/10,0))</f>
        <v>8374</v>
      </c>
      <c r="D251" s="22">
        <f>IF(Notes!$B$2="June",ROUND('Budget by Source'!D251/10,0)+Q251,ROUND('Budget by Source'!D251/10,0))</f>
        <v>24434</v>
      </c>
      <c r="E251" s="22">
        <f>IF(Notes!$B$2="June",ROUND('Budget by Source'!E251/10,0)+R251,ROUND('Budget by Source'!E251/10,0))</f>
        <v>2133</v>
      </c>
      <c r="F251" s="22">
        <f>IF(Notes!$B$2="June",ROUND('Budget by Source'!F251/10,0)+S251,ROUND('Budget by Source'!F251/10,0))</f>
        <v>2986</v>
      </c>
      <c r="G251" s="22">
        <f>IF(Notes!$B$2="June",ROUND('Budget by Source'!G251/10,0)+T251,ROUND('Budget by Source'!G251/10,0))</f>
        <v>10719</v>
      </c>
      <c r="H251" s="22">
        <f t="shared" si="9"/>
        <v>78359</v>
      </c>
      <c r="I251" s="22">
        <f>INDEX(Data[],MATCH($A251,Data[Dist],0),MATCH(I$5,Data[#Headers],0))</f>
        <v>127005</v>
      </c>
      <c r="K251" s="70">
        <f>INDEX('Payment Total'!$A$7:$H$336,MATCH('Payment by Source'!$A251,'Payment Total'!$A$7:$A$336,0),6)-I251</f>
        <v>0</v>
      </c>
      <c r="P251" s="158">
        <f>INDEX('Budget by Source'!$A$6:$I$335,MATCH('Payment by Source'!$A251,'Budget by Source'!$A$6:$A$335,0),MATCH(P$3,'Budget by Source'!$A$5:$I$5,0))-(ROUND(INDEX('Budget by Source'!$A$6:$I$335,MATCH('Payment by Source'!$A251,'Budget by Source'!$A$6:$A$335,0),MATCH(P$3,'Budget by Source'!$A$5:$I$5,0))/10,0)*10)</f>
        <v>-5</v>
      </c>
      <c r="Q251" s="158">
        <f>INDEX('Budget by Source'!$A$6:$I$335,MATCH('Payment by Source'!$A251,'Budget by Source'!$A$6:$A$335,0),MATCH(Q$3,'Budget by Source'!$A$5:$I$5,0))-(ROUND(INDEX('Budget by Source'!$A$6:$I$335,MATCH('Payment by Source'!$A251,'Budget by Source'!$A$6:$A$335,0),MATCH(Q$3,'Budget by Source'!$A$5:$I$5,0))/10,0)*10)</f>
        <v>-3</v>
      </c>
      <c r="R251" s="158">
        <f>INDEX('Budget by Source'!$A$6:$I$335,MATCH('Payment by Source'!$A251,'Budget by Source'!$A$6:$A$335,0),MATCH(R$3,'Budget by Source'!$A$5:$I$5,0))-(ROUND(INDEX('Budget by Source'!$A$6:$I$335,MATCH('Payment by Source'!$A251,'Budget by Source'!$A$6:$A$335,0),MATCH(R$3,'Budget by Source'!$A$5:$I$5,0))/10,0)*10)</f>
        <v>4</v>
      </c>
      <c r="S251" s="158">
        <f>INDEX('Budget by Source'!$A$6:$I$335,MATCH('Payment by Source'!$A251,'Budget by Source'!$A$6:$A$335,0),MATCH(S$3,'Budget by Source'!$A$5:$I$5,0))-(ROUND(INDEX('Budget by Source'!$A$6:$I$335,MATCH('Payment by Source'!$A251,'Budget by Source'!$A$6:$A$335,0),MATCH(S$3,'Budget by Source'!$A$5:$I$5,0))/10,0)*10)</f>
        <v>3</v>
      </c>
      <c r="T251" s="158">
        <f>INDEX('Budget by Source'!$A$6:$I$335,MATCH('Payment by Source'!$A251,'Budget by Source'!$A$6:$A$335,0),MATCH(T$3,'Budget by Source'!$A$5:$I$5,0))-(ROUND(INDEX('Budget by Source'!$A$6:$I$335,MATCH('Payment by Source'!$A251,'Budget by Source'!$A$6:$A$335,0),MATCH(T$3,'Budget by Source'!$A$5:$I$5,0))/10,0)*10)</f>
        <v>0</v>
      </c>
      <c r="U251" s="159">
        <f>INDEX('Budget by Source'!$A$6:$I$335,MATCH('Payment by Source'!$A251,'Budget by Source'!$A$6:$A$335,0),MATCH(U$3,'Budget by Source'!$A$5:$I$5,0))</f>
        <v>789040</v>
      </c>
      <c r="V251" s="156">
        <f t="shared" si="10"/>
        <v>78904</v>
      </c>
      <c r="W251" s="156">
        <f t="shared" si="11"/>
        <v>789040</v>
      </c>
    </row>
    <row r="252" spans="1:23" x14ac:dyDescent="0.2">
      <c r="A252" s="23" t="str">
        <f>Data!B248</f>
        <v>5607</v>
      </c>
      <c r="B252" s="21" t="str">
        <f>INDEX(Data[],MATCH($A252,Data[Dist],0),MATCH(B$5,Data[#Headers],0))</f>
        <v>Rock Valley</v>
      </c>
      <c r="C252" s="22">
        <f>IF(Notes!$B$2="June",ROUND('Budget by Source'!C252/10,0)+P252,ROUND('Budget by Source'!C252/10,0))</f>
        <v>26141</v>
      </c>
      <c r="D252" s="22">
        <f>IF(Notes!$B$2="June",ROUND('Budget by Source'!D252/10,0)+Q252,ROUND('Budget by Source'!D252/10,0))</f>
        <v>47789</v>
      </c>
      <c r="E252" s="22">
        <f>IF(Notes!$B$2="June",ROUND('Budget by Source'!E252/10,0)+R252,ROUND('Budget by Source'!E252/10,0))</f>
        <v>6664</v>
      </c>
      <c r="F252" s="22">
        <f>IF(Notes!$B$2="June",ROUND('Budget by Source'!F252/10,0)+S252,ROUND('Budget by Source'!F252/10,0))</f>
        <v>5058</v>
      </c>
      <c r="G252" s="22">
        <f>IF(Notes!$B$2="June",ROUND('Budget by Source'!G252/10,0)+T252,ROUND('Budget by Source'!G252/10,0))</f>
        <v>26288</v>
      </c>
      <c r="H252" s="22">
        <f t="shared" si="9"/>
        <v>397959</v>
      </c>
      <c r="I252" s="22">
        <f>INDEX(Data[],MATCH($A252,Data[Dist],0),MATCH(I$5,Data[#Headers],0))</f>
        <v>509899</v>
      </c>
      <c r="K252" s="70">
        <f>INDEX('Payment Total'!$A$7:$H$336,MATCH('Payment by Source'!$A252,'Payment Total'!$A$7:$A$336,0),6)-I252</f>
        <v>0</v>
      </c>
      <c r="P252" s="158">
        <f>INDEX('Budget by Source'!$A$6:$I$335,MATCH('Payment by Source'!$A252,'Budget by Source'!$A$6:$A$335,0),MATCH(P$3,'Budget by Source'!$A$5:$I$5,0))-(ROUND(INDEX('Budget by Source'!$A$6:$I$335,MATCH('Payment by Source'!$A252,'Budget by Source'!$A$6:$A$335,0),MATCH(P$3,'Budget by Source'!$A$5:$I$5,0))/10,0)*10)</f>
        <v>0</v>
      </c>
      <c r="Q252" s="158">
        <f>INDEX('Budget by Source'!$A$6:$I$335,MATCH('Payment by Source'!$A252,'Budget by Source'!$A$6:$A$335,0),MATCH(Q$3,'Budget by Source'!$A$5:$I$5,0))-(ROUND(INDEX('Budget by Source'!$A$6:$I$335,MATCH('Payment by Source'!$A252,'Budget by Source'!$A$6:$A$335,0),MATCH(Q$3,'Budget by Source'!$A$5:$I$5,0))/10,0)*10)</f>
        <v>-4</v>
      </c>
      <c r="R252" s="158">
        <f>INDEX('Budget by Source'!$A$6:$I$335,MATCH('Payment by Source'!$A252,'Budget by Source'!$A$6:$A$335,0),MATCH(R$3,'Budget by Source'!$A$5:$I$5,0))-(ROUND(INDEX('Budget by Source'!$A$6:$I$335,MATCH('Payment by Source'!$A252,'Budget by Source'!$A$6:$A$335,0),MATCH(R$3,'Budget by Source'!$A$5:$I$5,0))/10,0)*10)</f>
        <v>2</v>
      </c>
      <c r="S252" s="158">
        <f>INDEX('Budget by Source'!$A$6:$I$335,MATCH('Payment by Source'!$A252,'Budget by Source'!$A$6:$A$335,0),MATCH(S$3,'Budget by Source'!$A$5:$I$5,0))-(ROUND(INDEX('Budget by Source'!$A$6:$I$335,MATCH('Payment by Source'!$A252,'Budget by Source'!$A$6:$A$335,0),MATCH(S$3,'Budget by Source'!$A$5:$I$5,0))/10,0)*10)</f>
        <v>-3</v>
      </c>
      <c r="T252" s="158">
        <f>INDEX('Budget by Source'!$A$6:$I$335,MATCH('Payment by Source'!$A252,'Budget by Source'!$A$6:$A$335,0),MATCH(T$3,'Budget by Source'!$A$5:$I$5,0))-(ROUND(INDEX('Budget by Source'!$A$6:$I$335,MATCH('Payment by Source'!$A252,'Budget by Source'!$A$6:$A$335,0),MATCH(T$3,'Budget by Source'!$A$5:$I$5,0))/10,0)*10)</f>
        <v>-2</v>
      </c>
      <c r="U252" s="159">
        <f>INDEX('Budget by Source'!$A$6:$I$335,MATCH('Payment by Source'!$A252,'Budget by Source'!$A$6:$A$335,0),MATCH(U$3,'Budget by Source'!$A$5:$I$5,0))</f>
        <v>3992926</v>
      </c>
      <c r="V252" s="156">
        <f t="shared" si="10"/>
        <v>399293</v>
      </c>
      <c r="W252" s="156">
        <f t="shared" si="11"/>
        <v>3992930</v>
      </c>
    </row>
    <row r="253" spans="1:23" x14ac:dyDescent="0.2">
      <c r="A253" s="23" t="str">
        <f>Data!B249</f>
        <v>5643</v>
      </c>
      <c r="B253" s="21" t="str">
        <f>INDEX(Data[],MATCH($A253,Data[Dist],0),MATCH(B$5,Data[#Headers],0))</f>
        <v>Roland-Story</v>
      </c>
      <c r="C253" s="22">
        <f>IF(Notes!$B$2="June",ROUND('Budget by Source'!C253/10,0)+P253,ROUND('Budget by Source'!C253/10,0))</f>
        <v>18431</v>
      </c>
      <c r="D253" s="22">
        <f>IF(Notes!$B$2="June",ROUND('Budget by Source'!D253/10,0)+Q253,ROUND('Budget by Source'!D253/10,0))</f>
        <v>57295</v>
      </c>
      <c r="E253" s="22">
        <f>IF(Notes!$B$2="June",ROUND('Budget by Source'!E253/10,0)+R253,ROUND('Budget by Source'!E253/10,0))</f>
        <v>6550</v>
      </c>
      <c r="F253" s="22">
        <f>IF(Notes!$B$2="June",ROUND('Budget by Source'!F253/10,0)+S253,ROUND('Budget by Source'!F253/10,0))</f>
        <v>7122</v>
      </c>
      <c r="G253" s="22">
        <f>IF(Notes!$B$2="June",ROUND('Budget by Source'!G253/10,0)+T253,ROUND('Budget by Source'!G253/10,0))</f>
        <v>33018</v>
      </c>
      <c r="H253" s="22">
        <f t="shared" si="9"/>
        <v>467437</v>
      </c>
      <c r="I253" s="22">
        <f>INDEX(Data[],MATCH($A253,Data[Dist],0),MATCH(I$5,Data[#Headers],0))</f>
        <v>589853</v>
      </c>
      <c r="K253" s="70">
        <f>INDEX('Payment Total'!$A$7:$H$336,MATCH('Payment by Source'!$A253,'Payment Total'!$A$7:$A$336,0),6)-I253</f>
        <v>0</v>
      </c>
      <c r="P253" s="158">
        <f>INDEX('Budget by Source'!$A$6:$I$335,MATCH('Payment by Source'!$A253,'Budget by Source'!$A$6:$A$335,0),MATCH(P$3,'Budget by Source'!$A$5:$I$5,0))-(ROUND(INDEX('Budget by Source'!$A$6:$I$335,MATCH('Payment by Source'!$A253,'Budget by Source'!$A$6:$A$335,0),MATCH(P$3,'Budget by Source'!$A$5:$I$5,0))/10,0)*10)</f>
        <v>-2</v>
      </c>
      <c r="Q253" s="158">
        <f>INDEX('Budget by Source'!$A$6:$I$335,MATCH('Payment by Source'!$A253,'Budget by Source'!$A$6:$A$335,0),MATCH(Q$3,'Budget by Source'!$A$5:$I$5,0))-(ROUND(INDEX('Budget by Source'!$A$6:$I$335,MATCH('Payment by Source'!$A253,'Budget by Source'!$A$6:$A$335,0),MATCH(Q$3,'Budget by Source'!$A$5:$I$5,0))/10,0)*10)</f>
        <v>2</v>
      </c>
      <c r="R253" s="158">
        <f>INDEX('Budget by Source'!$A$6:$I$335,MATCH('Payment by Source'!$A253,'Budget by Source'!$A$6:$A$335,0),MATCH(R$3,'Budget by Source'!$A$5:$I$5,0))-(ROUND(INDEX('Budget by Source'!$A$6:$I$335,MATCH('Payment by Source'!$A253,'Budget by Source'!$A$6:$A$335,0),MATCH(R$3,'Budget by Source'!$A$5:$I$5,0))/10,0)*10)</f>
        <v>2</v>
      </c>
      <c r="S253" s="158">
        <f>INDEX('Budget by Source'!$A$6:$I$335,MATCH('Payment by Source'!$A253,'Budget by Source'!$A$6:$A$335,0),MATCH(S$3,'Budget by Source'!$A$5:$I$5,0))-(ROUND(INDEX('Budget by Source'!$A$6:$I$335,MATCH('Payment by Source'!$A253,'Budget by Source'!$A$6:$A$335,0),MATCH(S$3,'Budget by Source'!$A$5:$I$5,0))/10,0)*10)</f>
        <v>-4</v>
      </c>
      <c r="T253" s="158">
        <f>INDEX('Budget by Source'!$A$6:$I$335,MATCH('Payment by Source'!$A253,'Budget by Source'!$A$6:$A$335,0),MATCH(T$3,'Budget by Source'!$A$5:$I$5,0))-(ROUND(INDEX('Budget by Source'!$A$6:$I$335,MATCH('Payment by Source'!$A253,'Budget by Source'!$A$6:$A$335,0),MATCH(T$3,'Budget by Source'!$A$5:$I$5,0))/10,0)*10)</f>
        <v>-1</v>
      </c>
      <c r="U253" s="159">
        <f>INDEX('Budget by Source'!$A$6:$I$335,MATCH('Payment by Source'!$A253,'Budget by Source'!$A$6:$A$335,0),MATCH(U$3,'Budget by Source'!$A$5:$I$5,0))</f>
        <v>4691178</v>
      </c>
      <c r="V253" s="156">
        <f t="shared" si="10"/>
        <v>469118</v>
      </c>
      <c r="W253" s="156">
        <f t="shared" si="11"/>
        <v>4691180</v>
      </c>
    </row>
    <row r="254" spans="1:23" x14ac:dyDescent="0.2">
      <c r="A254" s="23" t="str">
        <f>Data!B250</f>
        <v>5697</v>
      </c>
      <c r="B254" s="21" t="str">
        <f>INDEX(Data[],MATCH($A254,Data[Dist],0),MATCH(B$5,Data[#Headers],0))</f>
        <v>Rudd-Rockford-Marble Rock</v>
      </c>
      <c r="C254" s="22">
        <f>IF(Notes!$B$2="June",ROUND('Budget by Source'!C254/10,0)+P254,ROUND('Budget by Source'!C254/10,0))</f>
        <v>6365</v>
      </c>
      <c r="D254" s="22">
        <f>IF(Notes!$B$2="June",ROUND('Budget by Source'!D254/10,0)+Q254,ROUND('Budget by Source'!D254/10,0))</f>
        <v>26473</v>
      </c>
      <c r="E254" s="22">
        <f>IF(Notes!$B$2="June",ROUND('Budget by Source'!E254/10,0)+R254,ROUND('Budget by Source'!E254/10,0))</f>
        <v>2793</v>
      </c>
      <c r="F254" s="22">
        <f>IF(Notes!$B$2="June",ROUND('Budget by Source'!F254/10,0)+S254,ROUND('Budget by Source'!F254/10,0))</f>
        <v>2988</v>
      </c>
      <c r="G254" s="22">
        <f>IF(Notes!$B$2="June",ROUND('Budget by Source'!G254/10,0)+T254,ROUND('Budget by Source'!G254/10,0))</f>
        <v>14263</v>
      </c>
      <c r="H254" s="22">
        <f t="shared" si="9"/>
        <v>169596</v>
      </c>
      <c r="I254" s="22">
        <f>INDEX(Data[],MATCH($A254,Data[Dist],0),MATCH(I$5,Data[#Headers],0))</f>
        <v>222478</v>
      </c>
      <c r="K254" s="70">
        <f>INDEX('Payment Total'!$A$7:$H$336,MATCH('Payment by Source'!$A254,'Payment Total'!$A$7:$A$336,0),6)-I254</f>
        <v>0</v>
      </c>
      <c r="P254" s="158">
        <f>INDEX('Budget by Source'!$A$6:$I$335,MATCH('Payment by Source'!$A254,'Budget by Source'!$A$6:$A$335,0),MATCH(P$3,'Budget by Source'!$A$5:$I$5,0))-(ROUND(INDEX('Budget by Source'!$A$6:$I$335,MATCH('Payment by Source'!$A254,'Budget by Source'!$A$6:$A$335,0),MATCH(P$3,'Budget by Source'!$A$5:$I$5,0))/10,0)*10)</f>
        <v>-3</v>
      </c>
      <c r="Q254" s="158">
        <f>INDEX('Budget by Source'!$A$6:$I$335,MATCH('Payment by Source'!$A254,'Budget by Source'!$A$6:$A$335,0),MATCH(Q$3,'Budget by Source'!$A$5:$I$5,0))-(ROUND(INDEX('Budget by Source'!$A$6:$I$335,MATCH('Payment by Source'!$A254,'Budget by Source'!$A$6:$A$335,0),MATCH(Q$3,'Budget by Source'!$A$5:$I$5,0))/10,0)*10)</f>
        <v>-1</v>
      </c>
      <c r="R254" s="158">
        <f>INDEX('Budget by Source'!$A$6:$I$335,MATCH('Payment by Source'!$A254,'Budget by Source'!$A$6:$A$335,0),MATCH(R$3,'Budget by Source'!$A$5:$I$5,0))-(ROUND(INDEX('Budget by Source'!$A$6:$I$335,MATCH('Payment by Source'!$A254,'Budget by Source'!$A$6:$A$335,0),MATCH(R$3,'Budget by Source'!$A$5:$I$5,0))/10,0)*10)</f>
        <v>-1</v>
      </c>
      <c r="S254" s="158">
        <f>INDEX('Budget by Source'!$A$6:$I$335,MATCH('Payment by Source'!$A254,'Budget by Source'!$A$6:$A$335,0),MATCH(S$3,'Budget by Source'!$A$5:$I$5,0))-(ROUND(INDEX('Budget by Source'!$A$6:$I$335,MATCH('Payment by Source'!$A254,'Budget by Source'!$A$6:$A$335,0),MATCH(S$3,'Budget by Source'!$A$5:$I$5,0))/10,0)*10)</f>
        <v>0</v>
      </c>
      <c r="T254" s="158">
        <f>INDEX('Budget by Source'!$A$6:$I$335,MATCH('Payment by Source'!$A254,'Budget by Source'!$A$6:$A$335,0),MATCH(T$3,'Budget by Source'!$A$5:$I$5,0))-(ROUND(INDEX('Budget by Source'!$A$6:$I$335,MATCH('Payment by Source'!$A254,'Budget by Source'!$A$6:$A$335,0),MATCH(T$3,'Budget by Source'!$A$5:$I$5,0))/10,0)*10)</f>
        <v>4</v>
      </c>
      <c r="U254" s="159">
        <f>INDEX('Budget by Source'!$A$6:$I$335,MATCH('Payment by Source'!$A254,'Budget by Source'!$A$6:$A$335,0),MATCH(U$3,'Budget by Source'!$A$5:$I$5,0))</f>
        <v>1702923</v>
      </c>
      <c r="V254" s="156">
        <f t="shared" si="10"/>
        <v>170292</v>
      </c>
      <c r="W254" s="156">
        <f t="shared" si="11"/>
        <v>1702920</v>
      </c>
    </row>
    <row r="255" spans="1:23" x14ac:dyDescent="0.2">
      <c r="A255" s="23" t="str">
        <f>Data!B251</f>
        <v>5724</v>
      </c>
      <c r="B255" s="21" t="str">
        <f>INDEX(Data[],MATCH($A255,Data[Dist],0),MATCH(B$5,Data[#Headers],0))</f>
        <v>Ruthven-Ayrshire</v>
      </c>
      <c r="C255" s="22">
        <f>IF(Notes!$B$2="June",ROUND('Budget by Source'!C255/10,0)+P255,ROUND('Budget by Source'!C255/10,0))</f>
        <v>3355</v>
      </c>
      <c r="D255" s="22">
        <f>IF(Notes!$B$2="June",ROUND('Budget by Source'!D255/10,0)+Q255,ROUND('Budget by Source'!D255/10,0))</f>
        <v>14634</v>
      </c>
      <c r="E255" s="22">
        <f>IF(Notes!$B$2="June",ROUND('Budget by Source'!E255/10,0)+R255,ROUND('Budget by Source'!E255/10,0))</f>
        <v>1752</v>
      </c>
      <c r="F255" s="22">
        <f>IF(Notes!$B$2="June",ROUND('Budget by Source'!F255/10,0)+S255,ROUND('Budget by Source'!F255/10,0))</f>
        <v>1601</v>
      </c>
      <c r="G255" s="22">
        <f>IF(Notes!$B$2="June",ROUND('Budget by Source'!G255/10,0)+T255,ROUND('Budget by Source'!G255/10,0))</f>
        <v>7402</v>
      </c>
      <c r="H255" s="22">
        <f t="shared" si="9"/>
        <v>101046</v>
      </c>
      <c r="I255" s="22">
        <f>INDEX(Data[],MATCH($A255,Data[Dist],0),MATCH(I$5,Data[#Headers],0))</f>
        <v>129790</v>
      </c>
      <c r="K255" s="70">
        <f>INDEX('Payment Total'!$A$7:$H$336,MATCH('Payment by Source'!$A255,'Payment Total'!$A$7:$A$336,0),6)-I255</f>
        <v>0</v>
      </c>
      <c r="P255" s="158">
        <f>INDEX('Budget by Source'!$A$6:$I$335,MATCH('Payment by Source'!$A255,'Budget by Source'!$A$6:$A$335,0),MATCH(P$3,'Budget by Source'!$A$5:$I$5,0))-(ROUND(INDEX('Budget by Source'!$A$6:$I$335,MATCH('Payment by Source'!$A255,'Budget by Source'!$A$6:$A$335,0),MATCH(P$3,'Budget by Source'!$A$5:$I$5,0))/10,0)*10)</f>
        <v>4</v>
      </c>
      <c r="Q255" s="158">
        <f>INDEX('Budget by Source'!$A$6:$I$335,MATCH('Payment by Source'!$A255,'Budget by Source'!$A$6:$A$335,0),MATCH(Q$3,'Budget by Source'!$A$5:$I$5,0))-(ROUND(INDEX('Budget by Source'!$A$6:$I$335,MATCH('Payment by Source'!$A255,'Budget by Source'!$A$6:$A$335,0),MATCH(Q$3,'Budget by Source'!$A$5:$I$5,0))/10,0)*10)</f>
        <v>4</v>
      </c>
      <c r="R255" s="158">
        <f>INDEX('Budget by Source'!$A$6:$I$335,MATCH('Payment by Source'!$A255,'Budget by Source'!$A$6:$A$335,0),MATCH(R$3,'Budget by Source'!$A$5:$I$5,0))-(ROUND(INDEX('Budget by Source'!$A$6:$I$335,MATCH('Payment by Source'!$A255,'Budget by Source'!$A$6:$A$335,0),MATCH(R$3,'Budget by Source'!$A$5:$I$5,0))/10,0)*10)</f>
        <v>4</v>
      </c>
      <c r="S255" s="158">
        <f>INDEX('Budget by Source'!$A$6:$I$335,MATCH('Payment by Source'!$A255,'Budget by Source'!$A$6:$A$335,0),MATCH(S$3,'Budget by Source'!$A$5:$I$5,0))-(ROUND(INDEX('Budget by Source'!$A$6:$I$335,MATCH('Payment by Source'!$A255,'Budget by Source'!$A$6:$A$335,0),MATCH(S$3,'Budget by Source'!$A$5:$I$5,0))/10,0)*10)</f>
        <v>-4</v>
      </c>
      <c r="T255" s="158">
        <f>INDEX('Budget by Source'!$A$6:$I$335,MATCH('Payment by Source'!$A255,'Budget by Source'!$A$6:$A$335,0),MATCH(T$3,'Budget by Source'!$A$5:$I$5,0))-(ROUND(INDEX('Budget by Source'!$A$6:$I$335,MATCH('Payment by Source'!$A255,'Budget by Source'!$A$6:$A$335,0),MATCH(T$3,'Budget by Source'!$A$5:$I$5,0))/10,0)*10)</f>
        <v>-1</v>
      </c>
      <c r="U255" s="159">
        <f>INDEX('Budget by Source'!$A$6:$I$335,MATCH('Payment by Source'!$A255,'Budget by Source'!$A$6:$A$335,0),MATCH(U$3,'Budget by Source'!$A$5:$I$5,0))</f>
        <v>1014223</v>
      </c>
      <c r="V255" s="156">
        <f t="shared" si="10"/>
        <v>101422</v>
      </c>
      <c r="W255" s="156">
        <f t="shared" si="11"/>
        <v>1014220</v>
      </c>
    </row>
    <row r="256" spans="1:23" x14ac:dyDescent="0.2">
      <c r="A256" s="23" t="str">
        <f>Data!B252</f>
        <v>5751</v>
      </c>
      <c r="B256" s="21" t="str">
        <f>INDEX(Data[],MATCH($A256,Data[Dist],0),MATCH(B$5,Data[#Headers],0))</f>
        <v>St Ansgar</v>
      </c>
      <c r="C256" s="22">
        <f>IF(Notes!$B$2="June",ROUND('Budget by Source'!C256/10,0)+P256,ROUND('Budget by Source'!C256/10,0))</f>
        <v>10056</v>
      </c>
      <c r="D256" s="22">
        <f>IF(Notes!$B$2="June",ROUND('Budget by Source'!D256/10,0)+Q256,ROUND('Budget by Source'!D256/10,0))</f>
        <v>33827</v>
      </c>
      <c r="E256" s="22">
        <f>IF(Notes!$B$2="June",ROUND('Budget by Source'!E256/10,0)+R256,ROUND('Budget by Source'!E256/10,0))</f>
        <v>3767</v>
      </c>
      <c r="F256" s="22">
        <f>IF(Notes!$B$2="June",ROUND('Budget by Source'!F256/10,0)+S256,ROUND('Budget by Source'!F256/10,0))</f>
        <v>3971</v>
      </c>
      <c r="G256" s="22">
        <f>IF(Notes!$B$2="June",ROUND('Budget by Source'!G256/10,0)+T256,ROUND('Budget by Source'!G256/10,0))</f>
        <v>19409</v>
      </c>
      <c r="H256" s="22">
        <f t="shared" si="9"/>
        <v>208396</v>
      </c>
      <c r="I256" s="22">
        <f>INDEX(Data[],MATCH($A256,Data[Dist],0),MATCH(I$5,Data[#Headers],0))</f>
        <v>279426</v>
      </c>
      <c r="K256" s="70">
        <f>INDEX('Payment Total'!$A$7:$H$336,MATCH('Payment by Source'!$A256,'Payment Total'!$A$7:$A$336,0),6)-I256</f>
        <v>0</v>
      </c>
      <c r="P256" s="158">
        <f>INDEX('Budget by Source'!$A$6:$I$335,MATCH('Payment by Source'!$A256,'Budget by Source'!$A$6:$A$335,0),MATCH(P$3,'Budget by Source'!$A$5:$I$5,0))-(ROUND(INDEX('Budget by Source'!$A$6:$I$335,MATCH('Payment by Source'!$A256,'Budget by Source'!$A$6:$A$335,0),MATCH(P$3,'Budget by Source'!$A$5:$I$5,0))/10,0)*10)</f>
        <v>2</v>
      </c>
      <c r="Q256" s="158">
        <f>INDEX('Budget by Source'!$A$6:$I$335,MATCH('Payment by Source'!$A256,'Budget by Source'!$A$6:$A$335,0),MATCH(Q$3,'Budget by Source'!$A$5:$I$5,0))-(ROUND(INDEX('Budget by Source'!$A$6:$I$335,MATCH('Payment by Source'!$A256,'Budget by Source'!$A$6:$A$335,0),MATCH(Q$3,'Budget by Source'!$A$5:$I$5,0))/10,0)*10)</f>
        <v>-3</v>
      </c>
      <c r="R256" s="158">
        <f>INDEX('Budget by Source'!$A$6:$I$335,MATCH('Payment by Source'!$A256,'Budget by Source'!$A$6:$A$335,0),MATCH(R$3,'Budget by Source'!$A$5:$I$5,0))-(ROUND(INDEX('Budget by Source'!$A$6:$I$335,MATCH('Payment by Source'!$A256,'Budget by Source'!$A$6:$A$335,0),MATCH(R$3,'Budget by Source'!$A$5:$I$5,0))/10,0)*10)</f>
        <v>-3</v>
      </c>
      <c r="S256" s="158">
        <f>INDEX('Budget by Source'!$A$6:$I$335,MATCH('Payment by Source'!$A256,'Budget by Source'!$A$6:$A$335,0),MATCH(S$3,'Budget by Source'!$A$5:$I$5,0))-(ROUND(INDEX('Budget by Source'!$A$6:$I$335,MATCH('Payment by Source'!$A256,'Budget by Source'!$A$6:$A$335,0),MATCH(S$3,'Budget by Source'!$A$5:$I$5,0))/10,0)*10)</f>
        <v>4</v>
      </c>
      <c r="T256" s="158">
        <f>INDEX('Budget by Source'!$A$6:$I$335,MATCH('Payment by Source'!$A256,'Budget by Source'!$A$6:$A$335,0),MATCH(T$3,'Budget by Source'!$A$5:$I$5,0))-(ROUND(INDEX('Budget by Source'!$A$6:$I$335,MATCH('Payment by Source'!$A256,'Budget by Source'!$A$6:$A$335,0),MATCH(T$3,'Budget by Source'!$A$5:$I$5,0))/10,0)*10)</f>
        <v>2</v>
      </c>
      <c r="U256" s="159">
        <f>INDEX('Budget by Source'!$A$6:$I$335,MATCH('Payment by Source'!$A256,'Budget by Source'!$A$6:$A$335,0),MATCH(U$3,'Budget by Source'!$A$5:$I$5,0))</f>
        <v>2093871</v>
      </c>
      <c r="V256" s="156">
        <f t="shared" si="10"/>
        <v>209387</v>
      </c>
      <c r="W256" s="156">
        <f t="shared" si="11"/>
        <v>2093870</v>
      </c>
    </row>
    <row r="257" spans="1:23" x14ac:dyDescent="0.2">
      <c r="A257" s="23" t="str">
        <f>Data!B253</f>
        <v>5805</v>
      </c>
      <c r="B257" s="21" t="str">
        <f>INDEX(Data[],MATCH($A257,Data[Dist],0),MATCH(B$5,Data[#Headers],0))</f>
        <v>Saydel</v>
      </c>
      <c r="C257" s="22">
        <f>IF(Notes!$B$2="June",ROUND('Budget by Source'!C257/10,0)+P257,ROUND('Budget by Source'!C257/10,0))</f>
        <v>18767</v>
      </c>
      <c r="D257" s="22">
        <f>IF(Notes!$B$2="June",ROUND('Budget by Source'!D257/10,0)+Q257,ROUND('Budget by Source'!D257/10,0))</f>
        <v>69722</v>
      </c>
      <c r="E257" s="22">
        <f>IF(Notes!$B$2="June",ROUND('Budget by Source'!E257/10,0)+R257,ROUND('Budget by Source'!E257/10,0))</f>
        <v>8955</v>
      </c>
      <c r="F257" s="22">
        <f>IF(Notes!$B$2="June",ROUND('Budget by Source'!F257/10,0)+S257,ROUND('Budget by Source'!F257/10,0))</f>
        <v>7474</v>
      </c>
      <c r="G257" s="22">
        <f>IF(Notes!$B$2="June",ROUND('Budget by Source'!G257/10,0)+T257,ROUND('Budget by Source'!G257/10,0))</f>
        <v>36552</v>
      </c>
      <c r="H257" s="22">
        <f t="shared" si="9"/>
        <v>276643</v>
      </c>
      <c r="I257" s="22">
        <f>INDEX(Data[],MATCH($A257,Data[Dist],0),MATCH(I$5,Data[#Headers],0))</f>
        <v>418113</v>
      </c>
      <c r="K257" s="70">
        <f>INDEX('Payment Total'!$A$7:$H$336,MATCH('Payment by Source'!$A257,'Payment Total'!$A$7:$A$336,0),6)-I257</f>
        <v>0</v>
      </c>
      <c r="P257" s="158">
        <f>INDEX('Budget by Source'!$A$6:$I$335,MATCH('Payment by Source'!$A257,'Budget by Source'!$A$6:$A$335,0),MATCH(P$3,'Budget by Source'!$A$5:$I$5,0))-(ROUND(INDEX('Budget by Source'!$A$6:$I$335,MATCH('Payment by Source'!$A257,'Budget by Source'!$A$6:$A$335,0),MATCH(P$3,'Budget by Source'!$A$5:$I$5,0))/10,0)*10)</f>
        <v>-1</v>
      </c>
      <c r="Q257" s="158">
        <f>INDEX('Budget by Source'!$A$6:$I$335,MATCH('Payment by Source'!$A257,'Budget by Source'!$A$6:$A$335,0),MATCH(Q$3,'Budget by Source'!$A$5:$I$5,0))-(ROUND(INDEX('Budget by Source'!$A$6:$I$335,MATCH('Payment by Source'!$A257,'Budget by Source'!$A$6:$A$335,0),MATCH(Q$3,'Budget by Source'!$A$5:$I$5,0))/10,0)*10)</f>
        <v>-1</v>
      </c>
      <c r="R257" s="158">
        <f>INDEX('Budget by Source'!$A$6:$I$335,MATCH('Payment by Source'!$A257,'Budget by Source'!$A$6:$A$335,0),MATCH(R$3,'Budget by Source'!$A$5:$I$5,0))-(ROUND(INDEX('Budget by Source'!$A$6:$I$335,MATCH('Payment by Source'!$A257,'Budget by Source'!$A$6:$A$335,0),MATCH(R$3,'Budget by Source'!$A$5:$I$5,0))/10,0)*10)</f>
        <v>-4</v>
      </c>
      <c r="S257" s="158">
        <f>INDEX('Budget by Source'!$A$6:$I$335,MATCH('Payment by Source'!$A257,'Budget by Source'!$A$6:$A$335,0),MATCH(S$3,'Budget by Source'!$A$5:$I$5,0))-(ROUND(INDEX('Budget by Source'!$A$6:$I$335,MATCH('Payment by Source'!$A257,'Budget by Source'!$A$6:$A$335,0),MATCH(S$3,'Budget by Source'!$A$5:$I$5,0))/10,0)*10)</f>
        <v>1</v>
      </c>
      <c r="T257" s="158">
        <f>INDEX('Budget by Source'!$A$6:$I$335,MATCH('Payment by Source'!$A257,'Budget by Source'!$A$6:$A$335,0),MATCH(T$3,'Budget by Source'!$A$5:$I$5,0))-(ROUND(INDEX('Budget by Source'!$A$6:$I$335,MATCH('Payment by Source'!$A257,'Budget by Source'!$A$6:$A$335,0),MATCH(T$3,'Budget by Source'!$A$5:$I$5,0))/10,0)*10)</f>
        <v>4</v>
      </c>
      <c r="U257" s="159">
        <f>INDEX('Budget by Source'!$A$6:$I$335,MATCH('Payment by Source'!$A257,'Budget by Source'!$A$6:$A$335,0),MATCH(U$3,'Budget by Source'!$A$5:$I$5,0))</f>
        <v>2785070</v>
      </c>
      <c r="V257" s="156">
        <f t="shared" si="10"/>
        <v>278507</v>
      </c>
      <c r="W257" s="156">
        <f t="shared" si="11"/>
        <v>2785070</v>
      </c>
    </row>
    <row r="258" spans="1:23" x14ac:dyDescent="0.2">
      <c r="A258" s="23" t="str">
        <f>Data!B254</f>
        <v>5823</v>
      </c>
      <c r="B258" s="21" t="str">
        <f>INDEX(Data[],MATCH($A258,Data[Dist],0),MATCH(B$5,Data[#Headers],0))</f>
        <v>Schaller-Crestland</v>
      </c>
      <c r="C258" s="22">
        <f>IF(Notes!$B$2="June",ROUND('Budget by Source'!C258/10,0)+P258,ROUND('Budget by Source'!C258/10,0))</f>
        <v>7711</v>
      </c>
      <c r="D258" s="22">
        <f>IF(Notes!$B$2="June",ROUND('Budget by Source'!D258/10,0)+Q258,ROUND('Budget by Source'!D258/10,0))</f>
        <v>21731</v>
      </c>
      <c r="E258" s="22">
        <f>IF(Notes!$B$2="June",ROUND('Budget by Source'!E258/10,0)+R258,ROUND('Budget by Source'!E258/10,0))</f>
        <v>2119</v>
      </c>
      <c r="F258" s="22">
        <f>IF(Notes!$B$2="June",ROUND('Budget by Source'!F258/10,0)+S258,ROUND('Budget by Source'!F258/10,0))</f>
        <v>2449</v>
      </c>
      <c r="G258" s="22">
        <f>IF(Notes!$B$2="June",ROUND('Budget by Source'!G258/10,0)+T258,ROUND('Budget by Source'!G258/10,0))</f>
        <v>11447</v>
      </c>
      <c r="H258" s="22">
        <f t="shared" si="9"/>
        <v>120780</v>
      </c>
      <c r="I258" s="22">
        <f>INDEX(Data[],MATCH($A258,Data[Dist],0),MATCH(I$5,Data[#Headers],0))</f>
        <v>166237</v>
      </c>
      <c r="K258" s="70">
        <f>INDEX('Payment Total'!$A$7:$H$336,MATCH('Payment by Source'!$A258,'Payment Total'!$A$7:$A$336,0),6)-I258</f>
        <v>0</v>
      </c>
      <c r="P258" s="158">
        <f>INDEX('Budget by Source'!$A$6:$I$335,MATCH('Payment by Source'!$A258,'Budget by Source'!$A$6:$A$335,0),MATCH(P$3,'Budget by Source'!$A$5:$I$5,0))-(ROUND(INDEX('Budget by Source'!$A$6:$I$335,MATCH('Payment by Source'!$A258,'Budget by Source'!$A$6:$A$335,0),MATCH(P$3,'Budget by Source'!$A$5:$I$5,0))/10,0)*10)</f>
        <v>3</v>
      </c>
      <c r="Q258" s="158">
        <f>INDEX('Budget by Source'!$A$6:$I$335,MATCH('Payment by Source'!$A258,'Budget by Source'!$A$6:$A$335,0),MATCH(Q$3,'Budget by Source'!$A$5:$I$5,0))-(ROUND(INDEX('Budget by Source'!$A$6:$I$335,MATCH('Payment by Source'!$A258,'Budget by Source'!$A$6:$A$335,0),MATCH(Q$3,'Budget by Source'!$A$5:$I$5,0))/10,0)*10)</f>
        <v>1</v>
      </c>
      <c r="R258" s="158">
        <f>INDEX('Budget by Source'!$A$6:$I$335,MATCH('Payment by Source'!$A258,'Budget by Source'!$A$6:$A$335,0),MATCH(R$3,'Budget by Source'!$A$5:$I$5,0))-(ROUND(INDEX('Budget by Source'!$A$6:$I$335,MATCH('Payment by Source'!$A258,'Budget by Source'!$A$6:$A$335,0),MATCH(R$3,'Budget by Source'!$A$5:$I$5,0))/10,0)*10)</f>
        <v>2</v>
      </c>
      <c r="S258" s="158">
        <f>INDEX('Budget by Source'!$A$6:$I$335,MATCH('Payment by Source'!$A258,'Budget by Source'!$A$6:$A$335,0),MATCH(S$3,'Budget by Source'!$A$5:$I$5,0))-(ROUND(INDEX('Budget by Source'!$A$6:$I$335,MATCH('Payment by Source'!$A258,'Budget by Source'!$A$6:$A$335,0),MATCH(S$3,'Budget by Source'!$A$5:$I$5,0))/10,0)*10)</f>
        <v>4</v>
      </c>
      <c r="T258" s="158">
        <f>INDEX('Budget by Source'!$A$6:$I$335,MATCH('Payment by Source'!$A258,'Budget by Source'!$A$6:$A$335,0),MATCH(T$3,'Budget by Source'!$A$5:$I$5,0))-(ROUND(INDEX('Budget by Source'!$A$6:$I$335,MATCH('Payment by Source'!$A258,'Budget by Source'!$A$6:$A$335,0),MATCH(T$3,'Budget by Source'!$A$5:$I$5,0))/10,0)*10)</f>
        <v>0</v>
      </c>
      <c r="U258" s="159">
        <f>INDEX('Budget by Source'!$A$6:$I$335,MATCH('Payment by Source'!$A258,'Budget by Source'!$A$6:$A$335,0),MATCH(U$3,'Budget by Source'!$A$5:$I$5,0))</f>
        <v>1213711</v>
      </c>
      <c r="V258" s="156">
        <f t="shared" si="10"/>
        <v>121371</v>
      </c>
      <c r="W258" s="156">
        <f t="shared" si="11"/>
        <v>1213710</v>
      </c>
    </row>
    <row r="259" spans="1:23" x14ac:dyDescent="0.2">
      <c r="A259" s="23" t="str">
        <f>Data!B255</f>
        <v>5832</v>
      </c>
      <c r="B259" s="21" t="str">
        <f>INDEX(Data[],MATCH($A259,Data[Dist],0),MATCH(B$5,Data[#Headers],0))</f>
        <v>Schleswig</v>
      </c>
      <c r="C259" s="22">
        <f>IF(Notes!$B$2="June",ROUND('Budget by Source'!C259/10,0)+P259,ROUND('Budget by Source'!C259/10,0))</f>
        <v>5365</v>
      </c>
      <c r="D259" s="22">
        <f>IF(Notes!$B$2="June",ROUND('Budget by Source'!D259/10,0)+Q259,ROUND('Budget by Source'!D259/10,0))</f>
        <v>13907</v>
      </c>
      <c r="E259" s="22">
        <f>IF(Notes!$B$2="June",ROUND('Budget by Source'!E259/10,0)+R259,ROUND('Budget by Source'!E259/10,0))</f>
        <v>1660</v>
      </c>
      <c r="F259" s="22">
        <f>IF(Notes!$B$2="June",ROUND('Budget by Source'!F259/10,0)+S259,ROUND('Budget by Source'!F259/10,0))</f>
        <v>1227</v>
      </c>
      <c r="G259" s="22">
        <f>IF(Notes!$B$2="June",ROUND('Budget by Source'!G259/10,0)+T259,ROUND('Budget by Source'!G259/10,0))</f>
        <v>8866</v>
      </c>
      <c r="H259" s="22">
        <f t="shared" si="9"/>
        <v>99944</v>
      </c>
      <c r="I259" s="22">
        <f>INDEX(Data[],MATCH($A259,Data[Dist],0),MATCH(I$5,Data[#Headers],0))</f>
        <v>130969</v>
      </c>
      <c r="K259" s="70">
        <f>INDEX('Payment Total'!$A$7:$H$336,MATCH('Payment by Source'!$A259,'Payment Total'!$A$7:$A$336,0),6)-I259</f>
        <v>0</v>
      </c>
      <c r="P259" s="158">
        <f>INDEX('Budget by Source'!$A$6:$I$335,MATCH('Payment by Source'!$A259,'Budget by Source'!$A$6:$A$335,0),MATCH(P$3,'Budget by Source'!$A$5:$I$5,0))-(ROUND(INDEX('Budget by Source'!$A$6:$I$335,MATCH('Payment by Source'!$A259,'Budget by Source'!$A$6:$A$335,0),MATCH(P$3,'Budget by Source'!$A$5:$I$5,0))/10,0)*10)</f>
        <v>3</v>
      </c>
      <c r="Q259" s="158">
        <f>INDEX('Budget by Source'!$A$6:$I$335,MATCH('Payment by Source'!$A259,'Budget by Source'!$A$6:$A$335,0),MATCH(Q$3,'Budget by Source'!$A$5:$I$5,0))-(ROUND(INDEX('Budget by Source'!$A$6:$I$335,MATCH('Payment by Source'!$A259,'Budget by Source'!$A$6:$A$335,0),MATCH(Q$3,'Budget by Source'!$A$5:$I$5,0))/10,0)*10)</f>
        <v>-5</v>
      </c>
      <c r="R259" s="158">
        <f>INDEX('Budget by Source'!$A$6:$I$335,MATCH('Payment by Source'!$A259,'Budget by Source'!$A$6:$A$335,0),MATCH(R$3,'Budget by Source'!$A$5:$I$5,0))-(ROUND(INDEX('Budget by Source'!$A$6:$I$335,MATCH('Payment by Source'!$A259,'Budget by Source'!$A$6:$A$335,0),MATCH(R$3,'Budget by Source'!$A$5:$I$5,0))/10,0)*10)</f>
        <v>-2</v>
      </c>
      <c r="S259" s="158">
        <f>INDEX('Budget by Source'!$A$6:$I$335,MATCH('Payment by Source'!$A259,'Budget by Source'!$A$6:$A$335,0),MATCH(S$3,'Budget by Source'!$A$5:$I$5,0))-(ROUND(INDEX('Budget by Source'!$A$6:$I$335,MATCH('Payment by Source'!$A259,'Budget by Source'!$A$6:$A$335,0),MATCH(S$3,'Budget by Source'!$A$5:$I$5,0))/10,0)*10)</f>
        <v>-2</v>
      </c>
      <c r="T259" s="158">
        <f>INDEX('Budget by Source'!$A$6:$I$335,MATCH('Payment by Source'!$A259,'Budget by Source'!$A$6:$A$335,0),MATCH(T$3,'Budget by Source'!$A$5:$I$5,0))-(ROUND(INDEX('Budget by Source'!$A$6:$I$335,MATCH('Payment by Source'!$A259,'Budget by Source'!$A$6:$A$335,0),MATCH(T$3,'Budget by Source'!$A$5:$I$5,0))/10,0)*10)</f>
        <v>-5</v>
      </c>
      <c r="U259" s="159">
        <f>INDEX('Budget by Source'!$A$6:$I$335,MATCH('Payment by Source'!$A259,'Budget by Source'!$A$6:$A$335,0),MATCH(U$3,'Budget by Source'!$A$5:$I$5,0))</f>
        <v>1003785</v>
      </c>
      <c r="V259" s="156">
        <f t="shared" si="10"/>
        <v>100379</v>
      </c>
      <c r="W259" s="156">
        <f t="shared" si="11"/>
        <v>1003790</v>
      </c>
    </row>
    <row r="260" spans="1:23" x14ac:dyDescent="0.2">
      <c r="A260" s="23" t="str">
        <f>Data!B256</f>
        <v>5877</v>
      </c>
      <c r="B260" s="21" t="str">
        <f>INDEX(Data[],MATCH($A260,Data[Dist],0),MATCH(B$5,Data[#Headers],0))</f>
        <v>Sergeant Bluff-Luton</v>
      </c>
      <c r="C260" s="22">
        <f>IF(Notes!$B$2="June",ROUND('Budget by Source'!C260/10,0)+P260,ROUND('Budget by Source'!C260/10,0))</f>
        <v>25469</v>
      </c>
      <c r="D260" s="22">
        <f>IF(Notes!$B$2="June",ROUND('Budget by Source'!D260/10,0)+Q260,ROUND('Budget by Source'!D260/10,0))</f>
        <v>84380</v>
      </c>
      <c r="E260" s="22">
        <f>IF(Notes!$B$2="June",ROUND('Budget by Source'!E260/10,0)+R260,ROUND('Budget by Source'!E260/10,0))</f>
        <v>9945</v>
      </c>
      <c r="F260" s="22">
        <f>IF(Notes!$B$2="June",ROUND('Budget by Source'!F260/10,0)+S260,ROUND('Budget by Source'!F260/10,0))</f>
        <v>10210</v>
      </c>
      <c r="G260" s="22">
        <f>IF(Notes!$B$2="June",ROUND('Budget by Source'!G260/10,0)+T260,ROUND('Budget by Source'!G260/10,0))</f>
        <v>46858</v>
      </c>
      <c r="H260" s="22">
        <f t="shared" si="9"/>
        <v>544781</v>
      </c>
      <c r="I260" s="22">
        <f>INDEX(Data[],MATCH($A260,Data[Dist],0),MATCH(I$5,Data[#Headers],0))</f>
        <v>721643</v>
      </c>
      <c r="K260" s="70">
        <f>INDEX('Payment Total'!$A$7:$H$336,MATCH('Payment by Source'!$A260,'Payment Total'!$A$7:$A$336,0),6)-I260</f>
        <v>0</v>
      </c>
      <c r="P260" s="158">
        <f>INDEX('Budget by Source'!$A$6:$I$335,MATCH('Payment by Source'!$A260,'Budget by Source'!$A$6:$A$335,0),MATCH(P$3,'Budget by Source'!$A$5:$I$5,0))-(ROUND(INDEX('Budget by Source'!$A$6:$I$335,MATCH('Payment by Source'!$A260,'Budget by Source'!$A$6:$A$335,0),MATCH(P$3,'Budget by Source'!$A$5:$I$5,0))/10,0)*10)</f>
        <v>-2</v>
      </c>
      <c r="Q260" s="158">
        <f>INDEX('Budget by Source'!$A$6:$I$335,MATCH('Payment by Source'!$A260,'Budget by Source'!$A$6:$A$335,0),MATCH(Q$3,'Budget by Source'!$A$5:$I$5,0))-(ROUND(INDEX('Budget by Source'!$A$6:$I$335,MATCH('Payment by Source'!$A260,'Budget by Source'!$A$6:$A$335,0),MATCH(Q$3,'Budget by Source'!$A$5:$I$5,0))/10,0)*10)</f>
        <v>-3</v>
      </c>
      <c r="R260" s="158">
        <f>INDEX('Budget by Source'!$A$6:$I$335,MATCH('Payment by Source'!$A260,'Budget by Source'!$A$6:$A$335,0),MATCH(R$3,'Budget by Source'!$A$5:$I$5,0))-(ROUND(INDEX('Budget by Source'!$A$6:$I$335,MATCH('Payment by Source'!$A260,'Budget by Source'!$A$6:$A$335,0),MATCH(R$3,'Budget by Source'!$A$5:$I$5,0))/10,0)*10)</f>
        <v>3</v>
      </c>
      <c r="S260" s="158">
        <f>INDEX('Budget by Source'!$A$6:$I$335,MATCH('Payment by Source'!$A260,'Budget by Source'!$A$6:$A$335,0),MATCH(S$3,'Budget by Source'!$A$5:$I$5,0))-(ROUND(INDEX('Budget by Source'!$A$6:$I$335,MATCH('Payment by Source'!$A260,'Budget by Source'!$A$6:$A$335,0),MATCH(S$3,'Budget by Source'!$A$5:$I$5,0))/10,0)*10)</f>
        <v>-4</v>
      </c>
      <c r="T260" s="158">
        <f>INDEX('Budget by Source'!$A$6:$I$335,MATCH('Payment by Source'!$A260,'Budget by Source'!$A$6:$A$335,0),MATCH(T$3,'Budget by Source'!$A$5:$I$5,0))-(ROUND(INDEX('Budget by Source'!$A$6:$I$335,MATCH('Payment by Source'!$A260,'Budget by Source'!$A$6:$A$335,0),MATCH(T$3,'Budget by Source'!$A$5:$I$5,0))/10,0)*10)</f>
        <v>-5</v>
      </c>
      <c r="U260" s="159">
        <f>INDEX('Budget by Source'!$A$6:$I$335,MATCH('Payment by Source'!$A260,'Budget by Source'!$A$6:$A$335,0),MATCH(U$3,'Budget by Source'!$A$5:$I$5,0))</f>
        <v>5471611</v>
      </c>
      <c r="V260" s="156">
        <f t="shared" si="10"/>
        <v>547161</v>
      </c>
      <c r="W260" s="156">
        <f t="shared" si="11"/>
        <v>5471610</v>
      </c>
    </row>
    <row r="261" spans="1:23" x14ac:dyDescent="0.2">
      <c r="A261" s="23" t="str">
        <f>Data!B257</f>
        <v>5895</v>
      </c>
      <c r="B261" s="21" t="str">
        <f>INDEX(Data[],MATCH($A261,Data[Dist],0),MATCH(B$5,Data[#Headers],0))</f>
        <v>Seymour</v>
      </c>
      <c r="C261" s="22">
        <f>IF(Notes!$B$2="June",ROUND('Budget by Source'!C261/10,0)+P261,ROUND('Budget by Source'!C261/10,0))</f>
        <v>3683</v>
      </c>
      <c r="D261" s="22">
        <f>IF(Notes!$B$2="June",ROUND('Budget by Source'!D261/10,0)+Q261,ROUND('Budget by Source'!D261/10,0))</f>
        <v>21262</v>
      </c>
      <c r="E261" s="22">
        <f>IF(Notes!$B$2="June",ROUND('Budget by Source'!E261/10,0)+R261,ROUND('Budget by Source'!E261/10,0))</f>
        <v>2398</v>
      </c>
      <c r="F261" s="22">
        <f>IF(Notes!$B$2="June",ROUND('Budget by Source'!F261/10,0)+S261,ROUND('Budget by Source'!F261/10,0))</f>
        <v>2342</v>
      </c>
      <c r="G261" s="22">
        <f>IF(Notes!$B$2="June",ROUND('Budget by Source'!G261/10,0)+T261,ROUND('Budget by Source'!G261/10,0))</f>
        <v>9687</v>
      </c>
      <c r="H261" s="22">
        <f t="shared" si="9"/>
        <v>137189</v>
      </c>
      <c r="I261" s="22">
        <f>INDEX(Data[],MATCH($A261,Data[Dist],0),MATCH(I$5,Data[#Headers],0))</f>
        <v>176561</v>
      </c>
      <c r="K261" s="70">
        <f>INDEX('Payment Total'!$A$7:$H$336,MATCH('Payment by Source'!$A261,'Payment Total'!$A$7:$A$336,0),6)-I261</f>
        <v>0</v>
      </c>
      <c r="P261" s="158">
        <f>INDEX('Budget by Source'!$A$6:$I$335,MATCH('Payment by Source'!$A261,'Budget by Source'!$A$6:$A$335,0),MATCH(P$3,'Budget by Source'!$A$5:$I$5,0))-(ROUND(INDEX('Budget by Source'!$A$6:$I$335,MATCH('Payment by Source'!$A261,'Budget by Source'!$A$6:$A$335,0),MATCH(P$3,'Budget by Source'!$A$5:$I$5,0))/10,0)*10)</f>
        <v>-4</v>
      </c>
      <c r="Q261" s="158">
        <f>INDEX('Budget by Source'!$A$6:$I$335,MATCH('Payment by Source'!$A261,'Budget by Source'!$A$6:$A$335,0),MATCH(Q$3,'Budget by Source'!$A$5:$I$5,0))-(ROUND(INDEX('Budget by Source'!$A$6:$I$335,MATCH('Payment by Source'!$A261,'Budget by Source'!$A$6:$A$335,0),MATCH(Q$3,'Budget by Source'!$A$5:$I$5,0))/10,0)*10)</f>
        <v>-3</v>
      </c>
      <c r="R261" s="158">
        <f>INDEX('Budget by Source'!$A$6:$I$335,MATCH('Payment by Source'!$A261,'Budget by Source'!$A$6:$A$335,0),MATCH(R$3,'Budget by Source'!$A$5:$I$5,0))-(ROUND(INDEX('Budget by Source'!$A$6:$I$335,MATCH('Payment by Source'!$A261,'Budget by Source'!$A$6:$A$335,0),MATCH(R$3,'Budget by Source'!$A$5:$I$5,0))/10,0)*10)</f>
        <v>4</v>
      </c>
      <c r="S261" s="158">
        <f>INDEX('Budget by Source'!$A$6:$I$335,MATCH('Payment by Source'!$A261,'Budget by Source'!$A$6:$A$335,0),MATCH(S$3,'Budget by Source'!$A$5:$I$5,0))-(ROUND(INDEX('Budget by Source'!$A$6:$I$335,MATCH('Payment by Source'!$A261,'Budget by Source'!$A$6:$A$335,0),MATCH(S$3,'Budget by Source'!$A$5:$I$5,0))/10,0)*10)</f>
        <v>-1</v>
      </c>
      <c r="T261" s="158">
        <f>INDEX('Budget by Source'!$A$6:$I$335,MATCH('Payment by Source'!$A261,'Budget by Source'!$A$6:$A$335,0),MATCH(T$3,'Budget by Source'!$A$5:$I$5,0))-(ROUND(INDEX('Budget by Source'!$A$6:$I$335,MATCH('Payment by Source'!$A261,'Budget by Source'!$A$6:$A$335,0),MATCH(T$3,'Budget by Source'!$A$5:$I$5,0))/10,0)*10)</f>
        <v>2</v>
      </c>
      <c r="U261" s="159">
        <f>INDEX('Budget by Source'!$A$6:$I$335,MATCH('Payment by Source'!$A261,'Budget by Source'!$A$6:$A$335,0),MATCH(U$3,'Budget by Source'!$A$5:$I$5,0))</f>
        <v>1376533</v>
      </c>
      <c r="V261" s="156">
        <f t="shared" si="10"/>
        <v>137653</v>
      </c>
      <c r="W261" s="156">
        <f t="shared" si="11"/>
        <v>1376530</v>
      </c>
    </row>
    <row r="262" spans="1:23" x14ac:dyDescent="0.2">
      <c r="A262" s="23" t="str">
        <f>Data!B258</f>
        <v>5922</v>
      </c>
      <c r="B262" s="21" t="str">
        <f>INDEX(Data[],MATCH($A262,Data[Dist],0),MATCH(B$5,Data[#Headers],0))</f>
        <v>West Fork</v>
      </c>
      <c r="C262" s="22">
        <f>IF(Notes!$B$2="June",ROUND('Budget by Source'!C262/10,0)+P262,ROUND('Budget by Source'!C262/10,0))</f>
        <v>14075</v>
      </c>
      <c r="D262" s="22">
        <f>IF(Notes!$B$2="June",ROUND('Budget by Source'!D262/10,0)+Q262,ROUND('Budget by Source'!D262/10,0))</f>
        <v>44923</v>
      </c>
      <c r="E262" s="22">
        <f>IF(Notes!$B$2="June",ROUND('Budget by Source'!E262/10,0)+R262,ROUND('Budget by Source'!E262/10,0))</f>
        <v>4169</v>
      </c>
      <c r="F262" s="22">
        <f>IF(Notes!$B$2="June",ROUND('Budget by Source'!F262/10,0)+S262,ROUND('Budget by Source'!F262/10,0))</f>
        <v>5151</v>
      </c>
      <c r="G262" s="22">
        <f>IF(Notes!$B$2="June",ROUND('Budget by Source'!G262/10,0)+T262,ROUND('Budget by Source'!G262/10,0))</f>
        <v>22888</v>
      </c>
      <c r="H262" s="22">
        <f t="shared" si="9"/>
        <v>270165</v>
      </c>
      <c r="I262" s="22">
        <f>INDEX(Data[],MATCH($A262,Data[Dist],0),MATCH(I$5,Data[#Headers],0))</f>
        <v>361371</v>
      </c>
      <c r="K262" s="70">
        <f>INDEX('Payment Total'!$A$7:$H$336,MATCH('Payment by Source'!$A262,'Payment Total'!$A$7:$A$336,0),6)-I262</f>
        <v>0</v>
      </c>
      <c r="P262" s="158">
        <f>INDEX('Budget by Source'!$A$6:$I$335,MATCH('Payment by Source'!$A262,'Budget by Source'!$A$6:$A$335,0),MATCH(P$3,'Budget by Source'!$A$5:$I$5,0))-(ROUND(INDEX('Budget by Source'!$A$6:$I$335,MATCH('Payment by Source'!$A262,'Budget by Source'!$A$6:$A$335,0),MATCH(P$3,'Budget by Source'!$A$5:$I$5,0))/10,0)*10)</f>
        <v>-1</v>
      </c>
      <c r="Q262" s="158">
        <f>INDEX('Budget by Source'!$A$6:$I$335,MATCH('Payment by Source'!$A262,'Budget by Source'!$A$6:$A$335,0),MATCH(Q$3,'Budget by Source'!$A$5:$I$5,0))-(ROUND(INDEX('Budget by Source'!$A$6:$I$335,MATCH('Payment by Source'!$A262,'Budget by Source'!$A$6:$A$335,0),MATCH(Q$3,'Budget by Source'!$A$5:$I$5,0))/10,0)*10)</f>
        <v>1</v>
      </c>
      <c r="R262" s="158">
        <f>INDEX('Budget by Source'!$A$6:$I$335,MATCH('Payment by Source'!$A262,'Budget by Source'!$A$6:$A$335,0),MATCH(R$3,'Budget by Source'!$A$5:$I$5,0))-(ROUND(INDEX('Budget by Source'!$A$6:$I$335,MATCH('Payment by Source'!$A262,'Budget by Source'!$A$6:$A$335,0),MATCH(R$3,'Budget by Source'!$A$5:$I$5,0))/10,0)*10)</f>
        <v>4</v>
      </c>
      <c r="S262" s="158">
        <f>INDEX('Budget by Source'!$A$6:$I$335,MATCH('Payment by Source'!$A262,'Budget by Source'!$A$6:$A$335,0),MATCH(S$3,'Budget by Source'!$A$5:$I$5,0))-(ROUND(INDEX('Budget by Source'!$A$6:$I$335,MATCH('Payment by Source'!$A262,'Budget by Source'!$A$6:$A$335,0),MATCH(S$3,'Budget by Source'!$A$5:$I$5,0))/10,0)*10)</f>
        <v>-3</v>
      </c>
      <c r="T262" s="158">
        <f>INDEX('Budget by Source'!$A$6:$I$335,MATCH('Payment by Source'!$A262,'Budget by Source'!$A$6:$A$335,0),MATCH(T$3,'Budget by Source'!$A$5:$I$5,0))-(ROUND(INDEX('Budget by Source'!$A$6:$I$335,MATCH('Payment by Source'!$A262,'Budget by Source'!$A$6:$A$335,0),MATCH(T$3,'Budget by Source'!$A$5:$I$5,0))/10,0)*10)</f>
        <v>4</v>
      </c>
      <c r="U262" s="159">
        <f>INDEX('Budget by Source'!$A$6:$I$335,MATCH('Payment by Source'!$A262,'Budget by Source'!$A$6:$A$335,0),MATCH(U$3,'Budget by Source'!$A$5:$I$5,0))</f>
        <v>2713362</v>
      </c>
      <c r="V262" s="156">
        <f t="shared" si="10"/>
        <v>271336</v>
      </c>
      <c r="W262" s="156">
        <f t="shared" si="11"/>
        <v>2713360</v>
      </c>
    </row>
    <row r="263" spans="1:23" x14ac:dyDescent="0.2">
      <c r="A263" s="23" t="str">
        <f>Data!B259</f>
        <v>5949</v>
      </c>
      <c r="B263" s="21" t="str">
        <f>INDEX(Data[],MATCH($A263,Data[Dist],0),MATCH(B$5,Data[#Headers],0))</f>
        <v>Sheldon</v>
      </c>
      <c r="C263" s="22">
        <f>IF(Notes!$B$2="June",ROUND('Budget by Source'!C263/10,0)+P263,ROUND('Budget by Source'!C263/10,0))</f>
        <v>28151</v>
      </c>
      <c r="D263" s="22">
        <f>IF(Notes!$B$2="June",ROUND('Budget by Source'!D263/10,0)+Q263,ROUND('Budget by Source'!D263/10,0))</f>
        <v>59967</v>
      </c>
      <c r="E263" s="22">
        <f>IF(Notes!$B$2="June",ROUND('Budget by Source'!E263/10,0)+R263,ROUND('Budget by Source'!E263/10,0))</f>
        <v>7435</v>
      </c>
      <c r="F263" s="22">
        <f>IF(Notes!$B$2="June",ROUND('Budget by Source'!F263/10,0)+S263,ROUND('Budget by Source'!F263/10,0))</f>
        <v>6342</v>
      </c>
      <c r="G263" s="22">
        <f>IF(Notes!$B$2="June",ROUND('Budget by Source'!G263/10,0)+T263,ROUND('Budget by Source'!G263/10,0))</f>
        <v>34980</v>
      </c>
      <c r="H263" s="22">
        <f t="shared" ref="H263:H326" si="12">I263-SUM(C263:G263)</f>
        <v>520097</v>
      </c>
      <c r="I263" s="22">
        <f>INDEX(Data[],MATCH($A263,Data[Dist],0),MATCH(I$5,Data[#Headers],0))</f>
        <v>656972</v>
      </c>
      <c r="K263" s="70">
        <f>INDEX('Payment Total'!$A$7:$H$336,MATCH('Payment by Source'!$A263,'Payment Total'!$A$7:$A$336,0),6)-I263</f>
        <v>0</v>
      </c>
      <c r="P263" s="158">
        <f>INDEX('Budget by Source'!$A$6:$I$335,MATCH('Payment by Source'!$A263,'Budget by Source'!$A$6:$A$335,0),MATCH(P$3,'Budget by Source'!$A$5:$I$5,0))-(ROUND(INDEX('Budget by Source'!$A$6:$I$335,MATCH('Payment by Source'!$A263,'Budget by Source'!$A$6:$A$335,0),MATCH(P$3,'Budget by Source'!$A$5:$I$5,0))/10,0)*10)</f>
        <v>-1</v>
      </c>
      <c r="Q263" s="158">
        <f>INDEX('Budget by Source'!$A$6:$I$335,MATCH('Payment by Source'!$A263,'Budget by Source'!$A$6:$A$335,0),MATCH(Q$3,'Budget by Source'!$A$5:$I$5,0))-(ROUND(INDEX('Budget by Source'!$A$6:$I$335,MATCH('Payment by Source'!$A263,'Budget by Source'!$A$6:$A$335,0),MATCH(Q$3,'Budget by Source'!$A$5:$I$5,0))/10,0)*10)</f>
        <v>-3</v>
      </c>
      <c r="R263" s="158">
        <f>INDEX('Budget by Source'!$A$6:$I$335,MATCH('Payment by Source'!$A263,'Budget by Source'!$A$6:$A$335,0),MATCH(R$3,'Budget by Source'!$A$5:$I$5,0))-(ROUND(INDEX('Budget by Source'!$A$6:$I$335,MATCH('Payment by Source'!$A263,'Budget by Source'!$A$6:$A$335,0),MATCH(R$3,'Budget by Source'!$A$5:$I$5,0))/10,0)*10)</f>
        <v>1</v>
      </c>
      <c r="S263" s="158">
        <f>INDEX('Budget by Source'!$A$6:$I$335,MATCH('Payment by Source'!$A263,'Budget by Source'!$A$6:$A$335,0),MATCH(S$3,'Budget by Source'!$A$5:$I$5,0))-(ROUND(INDEX('Budget by Source'!$A$6:$I$335,MATCH('Payment by Source'!$A263,'Budget by Source'!$A$6:$A$335,0),MATCH(S$3,'Budget by Source'!$A$5:$I$5,0))/10,0)*10)</f>
        <v>1</v>
      </c>
      <c r="T263" s="158">
        <f>INDEX('Budget by Source'!$A$6:$I$335,MATCH('Payment by Source'!$A263,'Budget by Source'!$A$6:$A$335,0),MATCH(T$3,'Budget by Source'!$A$5:$I$5,0))-(ROUND(INDEX('Budget by Source'!$A$6:$I$335,MATCH('Payment by Source'!$A263,'Budget by Source'!$A$6:$A$335,0),MATCH(T$3,'Budget by Source'!$A$5:$I$5,0))/10,0)*10)</f>
        <v>-5</v>
      </c>
      <c r="U263" s="159">
        <f>INDEX('Budget by Source'!$A$6:$I$335,MATCH('Payment by Source'!$A263,'Budget by Source'!$A$6:$A$335,0),MATCH(U$3,'Budget by Source'!$A$5:$I$5,0))</f>
        <v>5218742</v>
      </c>
      <c r="V263" s="156">
        <f t="shared" ref="V263:V326" si="13">ROUND(U263/10,0)</f>
        <v>521874</v>
      </c>
      <c r="W263" s="156">
        <f t="shared" ref="W263:W326" si="14">V263*10</f>
        <v>5218740</v>
      </c>
    </row>
    <row r="264" spans="1:23" x14ac:dyDescent="0.2">
      <c r="A264" s="23" t="str">
        <f>Data!B260</f>
        <v>5976</v>
      </c>
      <c r="B264" s="21" t="str">
        <f>INDEX(Data[],MATCH($A264,Data[Dist],0),MATCH(B$5,Data[#Headers],0))</f>
        <v>Shenandoah</v>
      </c>
      <c r="C264" s="22">
        <f>IF(Notes!$B$2="June",ROUND('Budget by Source'!C264/10,0)+P264,ROUND('Budget by Source'!C264/10,0))</f>
        <v>21450</v>
      </c>
      <c r="D264" s="22">
        <f>IF(Notes!$B$2="June",ROUND('Budget by Source'!D264/10,0)+Q264,ROUND('Budget by Source'!D264/10,0))</f>
        <v>66200</v>
      </c>
      <c r="E264" s="22">
        <f>IF(Notes!$B$2="June",ROUND('Budget by Source'!E264/10,0)+R264,ROUND('Budget by Source'!E264/10,0))</f>
        <v>8410</v>
      </c>
      <c r="F264" s="22">
        <f>IF(Notes!$B$2="June",ROUND('Budget by Source'!F264/10,0)+S264,ROUND('Budget by Source'!F264/10,0))</f>
        <v>7165</v>
      </c>
      <c r="G264" s="22">
        <f>IF(Notes!$B$2="June",ROUND('Budget by Source'!G264/10,0)+T264,ROUND('Budget by Source'!G264/10,0))</f>
        <v>35354</v>
      </c>
      <c r="H264" s="22">
        <f t="shared" si="12"/>
        <v>525226</v>
      </c>
      <c r="I264" s="22">
        <f>INDEX(Data[],MATCH($A264,Data[Dist],0),MATCH(I$5,Data[#Headers],0))</f>
        <v>663805</v>
      </c>
      <c r="K264" s="70">
        <f>INDEX('Payment Total'!$A$7:$H$336,MATCH('Payment by Source'!$A264,'Payment Total'!$A$7:$A$336,0),6)-I264</f>
        <v>0</v>
      </c>
      <c r="P264" s="158">
        <f>INDEX('Budget by Source'!$A$6:$I$335,MATCH('Payment by Source'!$A264,'Budget by Source'!$A$6:$A$335,0),MATCH(P$3,'Budget by Source'!$A$5:$I$5,0))-(ROUND(INDEX('Budget by Source'!$A$6:$I$335,MATCH('Payment by Source'!$A264,'Budget by Source'!$A$6:$A$335,0),MATCH(P$3,'Budget by Source'!$A$5:$I$5,0))/10,0)*10)</f>
        <v>1</v>
      </c>
      <c r="Q264" s="158">
        <f>INDEX('Budget by Source'!$A$6:$I$335,MATCH('Payment by Source'!$A264,'Budget by Source'!$A$6:$A$335,0),MATCH(Q$3,'Budget by Source'!$A$5:$I$5,0))-(ROUND(INDEX('Budget by Source'!$A$6:$I$335,MATCH('Payment by Source'!$A264,'Budget by Source'!$A$6:$A$335,0),MATCH(Q$3,'Budget by Source'!$A$5:$I$5,0))/10,0)*10)</f>
        <v>-1</v>
      </c>
      <c r="R264" s="158">
        <f>INDEX('Budget by Source'!$A$6:$I$335,MATCH('Payment by Source'!$A264,'Budget by Source'!$A$6:$A$335,0),MATCH(R$3,'Budget by Source'!$A$5:$I$5,0))-(ROUND(INDEX('Budget by Source'!$A$6:$I$335,MATCH('Payment by Source'!$A264,'Budget by Source'!$A$6:$A$335,0),MATCH(R$3,'Budget by Source'!$A$5:$I$5,0))/10,0)*10)</f>
        <v>-1</v>
      </c>
      <c r="S264" s="158">
        <f>INDEX('Budget by Source'!$A$6:$I$335,MATCH('Payment by Source'!$A264,'Budget by Source'!$A$6:$A$335,0),MATCH(S$3,'Budget by Source'!$A$5:$I$5,0))-(ROUND(INDEX('Budget by Source'!$A$6:$I$335,MATCH('Payment by Source'!$A264,'Budget by Source'!$A$6:$A$335,0),MATCH(S$3,'Budget by Source'!$A$5:$I$5,0))/10,0)*10)</f>
        <v>3</v>
      </c>
      <c r="T264" s="158">
        <f>INDEX('Budget by Source'!$A$6:$I$335,MATCH('Payment by Source'!$A264,'Budget by Source'!$A$6:$A$335,0),MATCH(T$3,'Budget by Source'!$A$5:$I$5,0))-(ROUND(INDEX('Budget by Source'!$A$6:$I$335,MATCH('Payment by Source'!$A264,'Budget by Source'!$A$6:$A$335,0),MATCH(T$3,'Budget by Source'!$A$5:$I$5,0))/10,0)*10)</f>
        <v>-3</v>
      </c>
      <c r="U264" s="159">
        <f>INDEX('Budget by Source'!$A$6:$I$335,MATCH('Payment by Source'!$A264,'Budget by Source'!$A$6:$A$335,0),MATCH(U$3,'Budget by Source'!$A$5:$I$5,0))</f>
        <v>5270274</v>
      </c>
      <c r="V264" s="156">
        <f t="shared" si="13"/>
        <v>527027</v>
      </c>
      <c r="W264" s="156">
        <f t="shared" si="14"/>
        <v>5270270</v>
      </c>
    </row>
    <row r="265" spans="1:23" x14ac:dyDescent="0.2">
      <c r="A265" s="23" t="str">
        <f>Data!B261</f>
        <v>5994</v>
      </c>
      <c r="B265" s="21" t="str">
        <f>INDEX(Data[],MATCH($A265,Data[Dist],0),MATCH(B$5,Data[#Headers],0))</f>
        <v>Sibley-Ocheyedan</v>
      </c>
      <c r="C265" s="22">
        <f>IF(Notes!$B$2="June",ROUND('Budget by Source'!C265/10,0)+P265,ROUND('Budget by Source'!C265/10,0))</f>
        <v>15749</v>
      </c>
      <c r="D265" s="22">
        <f>IF(Notes!$B$2="June",ROUND('Budget by Source'!D265/10,0)+Q265,ROUND('Budget by Source'!D265/10,0))</f>
        <v>46951</v>
      </c>
      <c r="E265" s="22">
        <f>IF(Notes!$B$2="June",ROUND('Budget by Source'!E265/10,0)+R265,ROUND('Budget by Source'!E265/10,0))</f>
        <v>5483</v>
      </c>
      <c r="F265" s="22">
        <f>IF(Notes!$B$2="June",ROUND('Budget by Source'!F265/10,0)+S265,ROUND('Budget by Source'!F265/10,0))</f>
        <v>4786</v>
      </c>
      <c r="G265" s="22">
        <f>IF(Notes!$B$2="June",ROUND('Budget by Source'!G265/10,0)+T265,ROUND('Budget by Source'!G265/10,0))</f>
        <v>25229</v>
      </c>
      <c r="H265" s="22">
        <f t="shared" si="12"/>
        <v>334238</v>
      </c>
      <c r="I265" s="22">
        <f>INDEX(Data[],MATCH($A265,Data[Dist],0),MATCH(I$5,Data[#Headers],0))</f>
        <v>432436</v>
      </c>
      <c r="K265" s="70">
        <f>INDEX('Payment Total'!$A$7:$H$336,MATCH('Payment by Source'!$A265,'Payment Total'!$A$7:$A$336,0),6)-I265</f>
        <v>0</v>
      </c>
      <c r="P265" s="158">
        <f>INDEX('Budget by Source'!$A$6:$I$335,MATCH('Payment by Source'!$A265,'Budget by Source'!$A$6:$A$335,0),MATCH(P$3,'Budget by Source'!$A$5:$I$5,0))-(ROUND(INDEX('Budget by Source'!$A$6:$I$335,MATCH('Payment by Source'!$A265,'Budget by Source'!$A$6:$A$335,0),MATCH(P$3,'Budget by Source'!$A$5:$I$5,0))/10,0)*10)</f>
        <v>-3</v>
      </c>
      <c r="Q265" s="158">
        <f>INDEX('Budget by Source'!$A$6:$I$335,MATCH('Payment by Source'!$A265,'Budget by Source'!$A$6:$A$335,0),MATCH(Q$3,'Budget by Source'!$A$5:$I$5,0))-(ROUND(INDEX('Budget by Source'!$A$6:$I$335,MATCH('Payment by Source'!$A265,'Budget by Source'!$A$6:$A$335,0),MATCH(Q$3,'Budget by Source'!$A$5:$I$5,0))/10,0)*10)</f>
        <v>1</v>
      </c>
      <c r="R265" s="158">
        <f>INDEX('Budget by Source'!$A$6:$I$335,MATCH('Payment by Source'!$A265,'Budget by Source'!$A$6:$A$335,0),MATCH(R$3,'Budget by Source'!$A$5:$I$5,0))-(ROUND(INDEX('Budget by Source'!$A$6:$I$335,MATCH('Payment by Source'!$A265,'Budget by Source'!$A$6:$A$335,0),MATCH(R$3,'Budget by Source'!$A$5:$I$5,0))/10,0)*10)</f>
        <v>-1</v>
      </c>
      <c r="S265" s="158">
        <f>INDEX('Budget by Source'!$A$6:$I$335,MATCH('Payment by Source'!$A265,'Budget by Source'!$A$6:$A$335,0),MATCH(S$3,'Budget by Source'!$A$5:$I$5,0))-(ROUND(INDEX('Budget by Source'!$A$6:$I$335,MATCH('Payment by Source'!$A265,'Budget by Source'!$A$6:$A$335,0),MATCH(S$3,'Budget by Source'!$A$5:$I$5,0))/10,0)*10)</f>
        <v>4</v>
      </c>
      <c r="T265" s="158">
        <f>INDEX('Budget by Source'!$A$6:$I$335,MATCH('Payment by Source'!$A265,'Budget by Source'!$A$6:$A$335,0),MATCH(T$3,'Budget by Source'!$A$5:$I$5,0))-(ROUND(INDEX('Budget by Source'!$A$6:$I$335,MATCH('Payment by Source'!$A265,'Budget by Source'!$A$6:$A$335,0),MATCH(T$3,'Budget by Source'!$A$5:$I$5,0))/10,0)*10)</f>
        <v>4</v>
      </c>
      <c r="U265" s="159">
        <f>INDEX('Budget by Source'!$A$6:$I$335,MATCH('Payment by Source'!$A265,'Budget by Source'!$A$6:$A$335,0),MATCH(U$3,'Budget by Source'!$A$5:$I$5,0))</f>
        <v>3355302</v>
      </c>
      <c r="V265" s="156">
        <f t="shared" si="13"/>
        <v>335530</v>
      </c>
      <c r="W265" s="156">
        <f t="shared" si="14"/>
        <v>3355300</v>
      </c>
    </row>
    <row r="266" spans="1:23" x14ac:dyDescent="0.2">
      <c r="A266" s="23" t="str">
        <f>Data!B262</f>
        <v>6003</v>
      </c>
      <c r="B266" s="21" t="str">
        <f>INDEX(Data[],MATCH($A266,Data[Dist],0),MATCH(B$5,Data[#Headers],0))</f>
        <v>Sidney</v>
      </c>
      <c r="C266" s="22">
        <f>IF(Notes!$B$2="June",ROUND('Budget by Source'!C266/10,0)+P266,ROUND('Budget by Source'!C266/10,0))</f>
        <v>10056</v>
      </c>
      <c r="D266" s="22">
        <f>IF(Notes!$B$2="June",ROUND('Budget by Source'!D266/10,0)+Q266,ROUND('Budget by Source'!D266/10,0))</f>
        <v>26392</v>
      </c>
      <c r="E266" s="22">
        <f>IF(Notes!$B$2="June",ROUND('Budget by Source'!E266/10,0)+R266,ROUND('Budget by Source'!E266/10,0))</f>
        <v>2961</v>
      </c>
      <c r="F266" s="22">
        <f>IF(Notes!$B$2="June",ROUND('Budget by Source'!F266/10,0)+S266,ROUND('Budget by Source'!F266/10,0))</f>
        <v>2784</v>
      </c>
      <c r="G266" s="22">
        <f>IF(Notes!$B$2="June",ROUND('Budget by Source'!G266/10,0)+T266,ROUND('Budget by Source'!G266/10,0))</f>
        <v>13214</v>
      </c>
      <c r="H266" s="22">
        <f t="shared" si="12"/>
        <v>194054</v>
      </c>
      <c r="I266" s="22">
        <f>INDEX(Data[],MATCH($A266,Data[Dist],0),MATCH(I$5,Data[#Headers],0))</f>
        <v>249461</v>
      </c>
      <c r="K266" s="70">
        <f>INDEX('Payment Total'!$A$7:$H$336,MATCH('Payment by Source'!$A266,'Payment Total'!$A$7:$A$336,0),6)-I266</f>
        <v>0</v>
      </c>
      <c r="P266" s="158">
        <f>INDEX('Budget by Source'!$A$6:$I$335,MATCH('Payment by Source'!$A266,'Budget by Source'!$A$6:$A$335,0),MATCH(P$3,'Budget by Source'!$A$5:$I$5,0))-(ROUND(INDEX('Budget by Source'!$A$6:$I$335,MATCH('Payment by Source'!$A266,'Budget by Source'!$A$6:$A$335,0),MATCH(P$3,'Budget by Source'!$A$5:$I$5,0))/10,0)*10)</f>
        <v>2</v>
      </c>
      <c r="Q266" s="158">
        <f>INDEX('Budget by Source'!$A$6:$I$335,MATCH('Payment by Source'!$A266,'Budget by Source'!$A$6:$A$335,0),MATCH(Q$3,'Budget by Source'!$A$5:$I$5,0))-(ROUND(INDEX('Budget by Source'!$A$6:$I$335,MATCH('Payment by Source'!$A266,'Budget by Source'!$A$6:$A$335,0),MATCH(Q$3,'Budget by Source'!$A$5:$I$5,0))/10,0)*10)</f>
        <v>0</v>
      </c>
      <c r="R266" s="158">
        <f>INDEX('Budget by Source'!$A$6:$I$335,MATCH('Payment by Source'!$A266,'Budget by Source'!$A$6:$A$335,0),MATCH(R$3,'Budget by Source'!$A$5:$I$5,0))-(ROUND(INDEX('Budget by Source'!$A$6:$I$335,MATCH('Payment by Source'!$A266,'Budget by Source'!$A$6:$A$335,0),MATCH(R$3,'Budget by Source'!$A$5:$I$5,0))/10,0)*10)</f>
        <v>2</v>
      </c>
      <c r="S266" s="158">
        <f>INDEX('Budget by Source'!$A$6:$I$335,MATCH('Payment by Source'!$A266,'Budget by Source'!$A$6:$A$335,0),MATCH(S$3,'Budget by Source'!$A$5:$I$5,0))-(ROUND(INDEX('Budget by Source'!$A$6:$I$335,MATCH('Payment by Source'!$A266,'Budget by Source'!$A$6:$A$335,0),MATCH(S$3,'Budget by Source'!$A$5:$I$5,0))/10,0)*10)</f>
        <v>2</v>
      </c>
      <c r="T266" s="158">
        <f>INDEX('Budget by Source'!$A$6:$I$335,MATCH('Payment by Source'!$A266,'Budget by Source'!$A$6:$A$335,0),MATCH(T$3,'Budget by Source'!$A$5:$I$5,0))-(ROUND(INDEX('Budget by Source'!$A$6:$I$335,MATCH('Payment by Source'!$A266,'Budget by Source'!$A$6:$A$335,0),MATCH(T$3,'Budget by Source'!$A$5:$I$5,0))/10,0)*10)</f>
        <v>-5</v>
      </c>
      <c r="U266" s="159">
        <f>INDEX('Budget by Source'!$A$6:$I$335,MATCH('Payment by Source'!$A266,'Budget by Source'!$A$6:$A$335,0),MATCH(U$3,'Budget by Source'!$A$5:$I$5,0))</f>
        <v>1947098</v>
      </c>
      <c r="V266" s="156">
        <f t="shared" si="13"/>
        <v>194710</v>
      </c>
      <c r="W266" s="156">
        <f t="shared" si="14"/>
        <v>1947100</v>
      </c>
    </row>
    <row r="267" spans="1:23" x14ac:dyDescent="0.2">
      <c r="A267" s="23" t="str">
        <f>Data!B263</f>
        <v>6012</v>
      </c>
      <c r="B267" s="21" t="str">
        <f>INDEX(Data[],MATCH($A267,Data[Dist],0),MATCH(B$5,Data[#Headers],0))</f>
        <v>Sigourney</v>
      </c>
      <c r="C267" s="22">
        <f>IF(Notes!$B$2="June",ROUND('Budget by Source'!C267/10,0)+P267,ROUND('Budget by Source'!C267/10,0))</f>
        <v>10056</v>
      </c>
      <c r="D267" s="22">
        <f>IF(Notes!$B$2="June",ROUND('Budget by Source'!D267/10,0)+Q267,ROUND('Budget by Source'!D267/10,0))</f>
        <v>34173</v>
      </c>
      <c r="E267" s="22">
        <f>IF(Notes!$B$2="June",ROUND('Budget by Source'!E267/10,0)+R267,ROUND('Budget by Source'!E267/10,0))</f>
        <v>3711</v>
      </c>
      <c r="F267" s="22">
        <f>IF(Notes!$B$2="June",ROUND('Budget by Source'!F267/10,0)+S267,ROUND('Budget by Source'!F267/10,0))</f>
        <v>3570</v>
      </c>
      <c r="G267" s="22">
        <f>IF(Notes!$B$2="June",ROUND('Budget by Source'!G267/10,0)+T267,ROUND('Budget by Source'!G267/10,0))</f>
        <v>17910</v>
      </c>
      <c r="H267" s="22">
        <f t="shared" si="12"/>
        <v>273973</v>
      </c>
      <c r="I267" s="22">
        <f>INDEX(Data[],MATCH($A267,Data[Dist],0),MATCH(I$5,Data[#Headers],0))</f>
        <v>343393</v>
      </c>
      <c r="K267" s="70">
        <f>INDEX('Payment Total'!$A$7:$H$336,MATCH('Payment by Source'!$A267,'Payment Total'!$A$7:$A$336,0),6)-I267</f>
        <v>0</v>
      </c>
      <c r="P267" s="158">
        <f>INDEX('Budget by Source'!$A$6:$I$335,MATCH('Payment by Source'!$A267,'Budget by Source'!$A$6:$A$335,0),MATCH(P$3,'Budget by Source'!$A$5:$I$5,0))-(ROUND(INDEX('Budget by Source'!$A$6:$I$335,MATCH('Payment by Source'!$A267,'Budget by Source'!$A$6:$A$335,0),MATCH(P$3,'Budget by Source'!$A$5:$I$5,0))/10,0)*10)</f>
        <v>2</v>
      </c>
      <c r="Q267" s="158">
        <f>INDEX('Budget by Source'!$A$6:$I$335,MATCH('Payment by Source'!$A267,'Budget by Source'!$A$6:$A$335,0),MATCH(Q$3,'Budget by Source'!$A$5:$I$5,0))-(ROUND(INDEX('Budget by Source'!$A$6:$I$335,MATCH('Payment by Source'!$A267,'Budget by Source'!$A$6:$A$335,0),MATCH(Q$3,'Budget by Source'!$A$5:$I$5,0))/10,0)*10)</f>
        <v>2</v>
      </c>
      <c r="R267" s="158">
        <f>INDEX('Budget by Source'!$A$6:$I$335,MATCH('Payment by Source'!$A267,'Budget by Source'!$A$6:$A$335,0),MATCH(R$3,'Budget by Source'!$A$5:$I$5,0))-(ROUND(INDEX('Budget by Source'!$A$6:$I$335,MATCH('Payment by Source'!$A267,'Budget by Source'!$A$6:$A$335,0),MATCH(R$3,'Budget by Source'!$A$5:$I$5,0))/10,0)*10)</f>
        <v>-4</v>
      </c>
      <c r="S267" s="158">
        <f>INDEX('Budget by Source'!$A$6:$I$335,MATCH('Payment by Source'!$A267,'Budget by Source'!$A$6:$A$335,0),MATCH(S$3,'Budget by Source'!$A$5:$I$5,0))-(ROUND(INDEX('Budget by Source'!$A$6:$I$335,MATCH('Payment by Source'!$A267,'Budget by Source'!$A$6:$A$335,0),MATCH(S$3,'Budget by Source'!$A$5:$I$5,0))/10,0)*10)</f>
        <v>-4</v>
      </c>
      <c r="T267" s="158">
        <f>INDEX('Budget by Source'!$A$6:$I$335,MATCH('Payment by Source'!$A267,'Budget by Source'!$A$6:$A$335,0),MATCH(T$3,'Budget by Source'!$A$5:$I$5,0))-(ROUND(INDEX('Budget by Source'!$A$6:$I$335,MATCH('Payment by Source'!$A267,'Budget by Source'!$A$6:$A$335,0),MATCH(T$3,'Budget by Source'!$A$5:$I$5,0))/10,0)*10)</f>
        <v>-2</v>
      </c>
      <c r="U267" s="159">
        <f>INDEX('Budget by Source'!$A$6:$I$335,MATCH('Payment by Source'!$A267,'Budget by Source'!$A$6:$A$335,0),MATCH(U$3,'Budget by Source'!$A$5:$I$5,0))</f>
        <v>2748826</v>
      </c>
      <c r="V267" s="156">
        <f t="shared" si="13"/>
        <v>274883</v>
      </c>
      <c r="W267" s="156">
        <f t="shared" si="14"/>
        <v>2748830</v>
      </c>
    </row>
    <row r="268" spans="1:23" x14ac:dyDescent="0.2">
      <c r="A268" s="23" t="str">
        <f>Data!B264</f>
        <v>6030</v>
      </c>
      <c r="B268" s="21" t="str">
        <f>INDEX(Data[],MATCH($A268,Data[Dist],0),MATCH(B$5,Data[#Headers],0))</f>
        <v>Sioux Center</v>
      </c>
      <c r="C268" s="22">
        <f>IF(Notes!$B$2="June",ROUND('Budget by Source'!C268/10,0)+P268,ROUND('Budget by Source'!C268/10,0))</f>
        <v>43899</v>
      </c>
      <c r="D268" s="22">
        <f>IF(Notes!$B$2="June",ROUND('Budget by Source'!D268/10,0)+Q268,ROUND('Budget by Source'!D268/10,0))</f>
        <v>76264</v>
      </c>
      <c r="E268" s="22">
        <f>IF(Notes!$B$2="June",ROUND('Budget by Source'!E268/10,0)+R268,ROUND('Budget by Source'!E268/10,0))</f>
        <v>10318</v>
      </c>
      <c r="F268" s="22">
        <f>IF(Notes!$B$2="June",ROUND('Budget by Source'!F268/10,0)+S268,ROUND('Budget by Source'!F268/10,0))</f>
        <v>9809</v>
      </c>
      <c r="G268" s="22">
        <f>IF(Notes!$B$2="June",ROUND('Budget by Source'!G268/10,0)+T268,ROUND('Budget by Source'!G268/10,0))</f>
        <v>42529</v>
      </c>
      <c r="H268" s="22">
        <f t="shared" si="12"/>
        <v>624246</v>
      </c>
      <c r="I268" s="22">
        <f>INDEX(Data[],MATCH($A268,Data[Dist],0),MATCH(I$5,Data[#Headers],0))</f>
        <v>807065</v>
      </c>
      <c r="K268" s="70">
        <f>INDEX('Payment Total'!$A$7:$H$336,MATCH('Payment by Source'!$A268,'Payment Total'!$A$7:$A$336,0),6)-I268</f>
        <v>0</v>
      </c>
      <c r="P268" s="158">
        <f>INDEX('Budget by Source'!$A$6:$I$335,MATCH('Payment by Source'!$A268,'Budget by Source'!$A$6:$A$335,0),MATCH(P$3,'Budget by Source'!$A$5:$I$5,0))-(ROUND(INDEX('Budget by Source'!$A$6:$I$335,MATCH('Payment by Source'!$A268,'Budget by Source'!$A$6:$A$335,0),MATCH(P$3,'Budget by Source'!$A$5:$I$5,0))/10,0)*10)</f>
        <v>-5</v>
      </c>
      <c r="Q268" s="158">
        <f>INDEX('Budget by Source'!$A$6:$I$335,MATCH('Payment by Source'!$A268,'Budget by Source'!$A$6:$A$335,0),MATCH(Q$3,'Budget by Source'!$A$5:$I$5,0))-(ROUND(INDEX('Budget by Source'!$A$6:$I$335,MATCH('Payment by Source'!$A268,'Budget by Source'!$A$6:$A$335,0),MATCH(Q$3,'Budget by Source'!$A$5:$I$5,0))/10,0)*10)</f>
        <v>-5</v>
      </c>
      <c r="R268" s="158">
        <f>INDEX('Budget by Source'!$A$6:$I$335,MATCH('Payment by Source'!$A268,'Budget by Source'!$A$6:$A$335,0),MATCH(R$3,'Budget by Source'!$A$5:$I$5,0))-(ROUND(INDEX('Budget by Source'!$A$6:$I$335,MATCH('Payment by Source'!$A268,'Budget by Source'!$A$6:$A$335,0),MATCH(R$3,'Budget by Source'!$A$5:$I$5,0))/10,0)*10)</f>
        <v>3</v>
      </c>
      <c r="S268" s="158">
        <f>INDEX('Budget by Source'!$A$6:$I$335,MATCH('Payment by Source'!$A268,'Budget by Source'!$A$6:$A$335,0),MATCH(S$3,'Budget by Source'!$A$5:$I$5,0))-(ROUND(INDEX('Budget by Source'!$A$6:$I$335,MATCH('Payment by Source'!$A268,'Budget by Source'!$A$6:$A$335,0),MATCH(S$3,'Budget by Source'!$A$5:$I$5,0))/10,0)*10)</f>
        <v>-1</v>
      </c>
      <c r="T268" s="158">
        <f>INDEX('Budget by Source'!$A$6:$I$335,MATCH('Payment by Source'!$A268,'Budget by Source'!$A$6:$A$335,0),MATCH(T$3,'Budget by Source'!$A$5:$I$5,0))-(ROUND(INDEX('Budget by Source'!$A$6:$I$335,MATCH('Payment by Source'!$A268,'Budget by Source'!$A$6:$A$335,0),MATCH(T$3,'Budget by Source'!$A$5:$I$5,0))/10,0)*10)</f>
        <v>-1</v>
      </c>
      <c r="U268" s="159">
        <f>INDEX('Budget by Source'!$A$6:$I$335,MATCH('Payment by Source'!$A268,'Budget by Source'!$A$6:$A$335,0),MATCH(U$3,'Budget by Source'!$A$5:$I$5,0))</f>
        <v>6264089</v>
      </c>
      <c r="V268" s="156">
        <f t="shared" si="13"/>
        <v>626409</v>
      </c>
      <c r="W268" s="156">
        <f t="shared" si="14"/>
        <v>6264090</v>
      </c>
    </row>
    <row r="269" spans="1:23" x14ac:dyDescent="0.2">
      <c r="A269" s="23" t="str">
        <f>Data!B265</f>
        <v>6039</v>
      </c>
      <c r="B269" s="21" t="str">
        <f>INDEX(Data[],MATCH($A269,Data[Dist],0),MATCH(B$5,Data[#Headers],0))</f>
        <v>Sioux City</v>
      </c>
      <c r="C269" s="22">
        <f>IF(Notes!$B$2="June",ROUND('Budget by Source'!C269/10,0)+P269,ROUND('Budget by Source'!C269/10,0))</f>
        <v>261414</v>
      </c>
      <c r="D269" s="22">
        <f>IF(Notes!$B$2="June",ROUND('Budget by Source'!D269/10,0)+Q269,ROUND('Budget by Source'!D269/10,0))</f>
        <v>818192</v>
      </c>
      <c r="E269" s="22">
        <f>IF(Notes!$B$2="June",ROUND('Budget by Source'!E269/10,0)+R269,ROUND('Budget by Source'!E269/10,0))</f>
        <v>122193</v>
      </c>
      <c r="F269" s="22">
        <f>IF(Notes!$B$2="June",ROUND('Budget by Source'!F269/10,0)+S269,ROUND('Budget by Source'!F269/10,0))</f>
        <v>97563</v>
      </c>
      <c r="G269" s="22">
        <f>IF(Notes!$B$2="June",ROUND('Budget by Source'!G269/10,0)+T269,ROUND('Budget by Source'!G269/10,0))</f>
        <v>474170</v>
      </c>
      <c r="H269" s="22">
        <f t="shared" si="12"/>
        <v>9155064</v>
      </c>
      <c r="I269" s="22">
        <f>INDEX(Data[],MATCH($A269,Data[Dist],0),MATCH(I$5,Data[#Headers],0))</f>
        <v>10928596</v>
      </c>
      <c r="K269" s="70">
        <f>INDEX('Payment Total'!$A$7:$H$336,MATCH('Payment by Source'!$A269,'Payment Total'!$A$7:$A$336,0),6)-I269</f>
        <v>0</v>
      </c>
      <c r="P269" s="158">
        <f>INDEX('Budget by Source'!$A$6:$I$335,MATCH('Payment by Source'!$A269,'Budget by Source'!$A$6:$A$335,0),MATCH(P$3,'Budget by Source'!$A$5:$I$5,0))-(ROUND(INDEX('Budget by Source'!$A$6:$I$335,MATCH('Payment by Source'!$A269,'Budget by Source'!$A$6:$A$335,0),MATCH(P$3,'Budget by Source'!$A$5:$I$5,0))/10,0)*10)</f>
        <v>4</v>
      </c>
      <c r="Q269" s="158">
        <f>INDEX('Budget by Source'!$A$6:$I$335,MATCH('Payment by Source'!$A269,'Budget by Source'!$A$6:$A$335,0),MATCH(Q$3,'Budget by Source'!$A$5:$I$5,0))-(ROUND(INDEX('Budget by Source'!$A$6:$I$335,MATCH('Payment by Source'!$A269,'Budget by Source'!$A$6:$A$335,0),MATCH(Q$3,'Budget by Source'!$A$5:$I$5,0))/10,0)*10)</f>
        <v>1</v>
      </c>
      <c r="R269" s="158">
        <f>INDEX('Budget by Source'!$A$6:$I$335,MATCH('Payment by Source'!$A269,'Budget by Source'!$A$6:$A$335,0),MATCH(R$3,'Budget by Source'!$A$5:$I$5,0))-(ROUND(INDEX('Budget by Source'!$A$6:$I$335,MATCH('Payment by Source'!$A269,'Budget by Source'!$A$6:$A$335,0),MATCH(R$3,'Budget by Source'!$A$5:$I$5,0))/10,0)*10)</f>
        <v>-3</v>
      </c>
      <c r="S269" s="158">
        <f>INDEX('Budget by Source'!$A$6:$I$335,MATCH('Payment by Source'!$A269,'Budget by Source'!$A$6:$A$335,0),MATCH(S$3,'Budget by Source'!$A$5:$I$5,0))-(ROUND(INDEX('Budget by Source'!$A$6:$I$335,MATCH('Payment by Source'!$A269,'Budget by Source'!$A$6:$A$335,0),MATCH(S$3,'Budget by Source'!$A$5:$I$5,0))/10,0)*10)</f>
        <v>-2</v>
      </c>
      <c r="T269" s="158">
        <f>INDEX('Budget by Source'!$A$6:$I$335,MATCH('Payment by Source'!$A269,'Budget by Source'!$A$6:$A$335,0),MATCH(T$3,'Budget by Source'!$A$5:$I$5,0))-(ROUND(INDEX('Budget by Source'!$A$6:$I$335,MATCH('Payment by Source'!$A269,'Budget by Source'!$A$6:$A$335,0),MATCH(T$3,'Budget by Source'!$A$5:$I$5,0))/10,0)*10)</f>
        <v>-3</v>
      </c>
      <c r="U269" s="159">
        <f>INDEX('Budget by Source'!$A$6:$I$335,MATCH('Payment by Source'!$A269,'Budget by Source'!$A$6:$A$335,0),MATCH(U$3,'Budget by Source'!$A$5:$I$5,0))</f>
        <v>91792448</v>
      </c>
      <c r="V269" s="156">
        <f t="shared" si="13"/>
        <v>9179245</v>
      </c>
      <c r="W269" s="156">
        <f t="shared" si="14"/>
        <v>91792450</v>
      </c>
    </row>
    <row r="270" spans="1:23" x14ac:dyDescent="0.2">
      <c r="A270" s="23" t="str">
        <f>Data!B266</f>
        <v>6048</v>
      </c>
      <c r="B270" s="21" t="str">
        <f>INDEX(Data[],MATCH($A270,Data[Dist],0),MATCH(B$5,Data[#Headers],0))</f>
        <v>Sioux Central</v>
      </c>
      <c r="C270" s="22">
        <f>IF(Notes!$B$2="June",ROUND('Budget by Source'!C270/10,0)+P270,ROUND('Budget by Source'!C270/10,0))</f>
        <v>10056</v>
      </c>
      <c r="D270" s="22">
        <f>IF(Notes!$B$2="June",ROUND('Budget by Source'!D270/10,0)+Q270,ROUND('Budget by Source'!D270/10,0))</f>
        <v>34391</v>
      </c>
      <c r="E270" s="22">
        <f>IF(Notes!$B$2="June",ROUND('Budget by Source'!E270/10,0)+R270,ROUND('Budget by Source'!E270/10,0))</f>
        <v>3585</v>
      </c>
      <c r="F270" s="22">
        <f>IF(Notes!$B$2="June",ROUND('Budget by Source'!F270/10,0)+S270,ROUND('Budget by Source'!F270/10,0))</f>
        <v>3942</v>
      </c>
      <c r="G270" s="22">
        <f>IF(Notes!$B$2="June",ROUND('Budget by Source'!G270/10,0)+T270,ROUND('Budget by Source'!G270/10,0))</f>
        <v>16033</v>
      </c>
      <c r="H270" s="22">
        <f t="shared" si="12"/>
        <v>187390</v>
      </c>
      <c r="I270" s="22">
        <f>INDEX(Data[],MATCH($A270,Data[Dist],0),MATCH(I$5,Data[#Headers],0))</f>
        <v>255397</v>
      </c>
      <c r="K270" s="70">
        <f>INDEX('Payment Total'!$A$7:$H$336,MATCH('Payment by Source'!$A270,'Payment Total'!$A$7:$A$336,0),6)-I270</f>
        <v>0</v>
      </c>
      <c r="P270" s="158">
        <f>INDEX('Budget by Source'!$A$6:$I$335,MATCH('Payment by Source'!$A270,'Budget by Source'!$A$6:$A$335,0),MATCH(P$3,'Budget by Source'!$A$5:$I$5,0))-(ROUND(INDEX('Budget by Source'!$A$6:$I$335,MATCH('Payment by Source'!$A270,'Budget by Source'!$A$6:$A$335,0),MATCH(P$3,'Budget by Source'!$A$5:$I$5,0))/10,0)*10)</f>
        <v>2</v>
      </c>
      <c r="Q270" s="158">
        <f>INDEX('Budget by Source'!$A$6:$I$335,MATCH('Payment by Source'!$A270,'Budget by Source'!$A$6:$A$335,0),MATCH(Q$3,'Budget by Source'!$A$5:$I$5,0))-(ROUND(INDEX('Budget by Source'!$A$6:$I$335,MATCH('Payment by Source'!$A270,'Budget by Source'!$A$6:$A$335,0),MATCH(Q$3,'Budget by Source'!$A$5:$I$5,0))/10,0)*10)</f>
        <v>1</v>
      </c>
      <c r="R270" s="158">
        <f>INDEX('Budget by Source'!$A$6:$I$335,MATCH('Payment by Source'!$A270,'Budget by Source'!$A$6:$A$335,0),MATCH(R$3,'Budget by Source'!$A$5:$I$5,0))-(ROUND(INDEX('Budget by Source'!$A$6:$I$335,MATCH('Payment by Source'!$A270,'Budget by Source'!$A$6:$A$335,0),MATCH(R$3,'Budget by Source'!$A$5:$I$5,0))/10,0)*10)</f>
        <v>4</v>
      </c>
      <c r="S270" s="158">
        <f>INDEX('Budget by Source'!$A$6:$I$335,MATCH('Payment by Source'!$A270,'Budget by Source'!$A$6:$A$335,0),MATCH(S$3,'Budget by Source'!$A$5:$I$5,0))-(ROUND(INDEX('Budget by Source'!$A$6:$I$335,MATCH('Payment by Source'!$A270,'Budget by Source'!$A$6:$A$335,0),MATCH(S$3,'Budget by Source'!$A$5:$I$5,0))/10,0)*10)</f>
        <v>3</v>
      </c>
      <c r="T270" s="158">
        <f>INDEX('Budget by Source'!$A$6:$I$335,MATCH('Payment by Source'!$A270,'Budget by Source'!$A$6:$A$335,0),MATCH(T$3,'Budget by Source'!$A$5:$I$5,0))-(ROUND(INDEX('Budget by Source'!$A$6:$I$335,MATCH('Payment by Source'!$A270,'Budget by Source'!$A$6:$A$335,0),MATCH(T$3,'Budget by Source'!$A$5:$I$5,0))/10,0)*10)</f>
        <v>2</v>
      </c>
      <c r="U270" s="159">
        <f>INDEX('Budget by Source'!$A$6:$I$335,MATCH('Payment by Source'!$A270,'Budget by Source'!$A$6:$A$335,0),MATCH(U$3,'Budget by Source'!$A$5:$I$5,0))</f>
        <v>1893245</v>
      </c>
      <c r="V270" s="156">
        <f t="shared" si="13"/>
        <v>189325</v>
      </c>
      <c r="W270" s="156">
        <f t="shared" si="14"/>
        <v>1893250</v>
      </c>
    </row>
    <row r="271" spans="1:23" x14ac:dyDescent="0.2">
      <c r="A271" s="23" t="str">
        <f>Data!B267</f>
        <v>6091</v>
      </c>
      <c r="B271" s="21" t="str">
        <f>INDEX(Data[],MATCH($A271,Data[Dist],0),MATCH(B$5,Data[#Headers],0))</f>
        <v>South Central Calhoun</v>
      </c>
      <c r="C271" s="22">
        <f>IF(Notes!$B$2="June",ROUND('Budget by Source'!C271/10,0)+P271,ROUND('Budget by Source'!C271/10,0))</f>
        <v>20440</v>
      </c>
      <c r="D271" s="22">
        <f>IF(Notes!$B$2="June",ROUND('Budget by Source'!D271/10,0)+Q271,ROUND('Budget by Source'!D271/10,0))</f>
        <v>58719</v>
      </c>
      <c r="E271" s="22">
        <f>IF(Notes!$B$2="June",ROUND('Budget by Source'!E271/10,0)+R271,ROUND('Budget by Source'!E271/10,0))</f>
        <v>6322</v>
      </c>
      <c r="F271" s="22">
        <f>IF(Notes!$B$2="June",ROUND('Budget by Source'!F271/10,0)+S271,ROUND('Budget by Source'!F271/10,0))</f>
        <v>5989</v>
      </c>
      <c r="G271" s="22">
        <f>IF(Notes!$B$2="June",ROUND('Budget by Source'!G271/10,0)+T271,ROUND('Budget by Source'!G271/10,0))</f>
        <v>29745</v>
      </c>
      <c r="H271" s="22">
        <f t="shared" si="12"/>
        <v>344036</v>
      </c>
      <c r="I271" s="22">
        <f>INDEX(Data[],MATCH($A271,Data[Dist],0),MATCH(I$5,Data[#Headers],0))</f>
        <v>465251</v>
      </c>
      <c r="K271" s="70">
        <f>INDEX('Payment Total'!$A$7:$H$336,MATCH('Payment by Source'!$A271,'Payment Total'!$A$7:$A$336,0),6)-I271</f>
        <v>0</v>
      </c>
      <c r="P271" s="158">
        <f>INDEX('Budget by Source'!$A$6:$I$335,MATCH('Payment by Source'!$A271,'Budget by Source'!$A$6:$A$335,0),MATCH(P$3,'Budget by Source'!$A$5:$I$5,0))-(ROUND(INDEX('Budget by Source'!$A$6:$I$335,MATCH('Payment by Source'!$A271,'Budget by Source'!$A$6:$A$335,0),MATCH(P$3,'Budget by Source'!$A$5:$I$5,0))/10,0)*10)</f>
        <v>-4</v>
      </c>
      <c r="Q271" s="158">
        <f>INDEX('Budget by Source'!$A$6:$I$335,MATCH('Payment by Source'!$A271,'Budget by Source'!$A$6:$A$335,0),MATCH(Q$3,'Budget by Source'!$A$5:$I$5,0))-(ROUND(INDEX('Budget by Source'!$A$6:$I$335,MATCH('Payment by Source'!$A271,'Budget by Source'!$A$6:$A$335,0),MATCH(Q$3,'Budget by Source'!$A$5:$I$5,0))/10,0)*10)</f>
        <v>-1</v>
      </c>
      <c r="R271" s="158">
        <f>INDEX('Budget by Source'!$A$6:$I$335,MATCH('Payment by Source'!$A271,'Budget by Source'!$A$6:$A$335,0),MATCH(R$3,'Budget by Source'!$A$5:$I$5,0))-(ROUND(INDEX('Budget by Source'!$A$6:$I$335,MATCH('Payment by Source'!$A271,'Budget by Source'!$A$6:$A$335,0),MATCH(R$3,'Budget by Source'!$A$5:$I$5,0))/10,0)*10)</f>
        <v>-2</v>
      </c>
      <c r="S271" s="158">
        <f>INDEX('Budget by Source'!$A$6:$I$335,MATCH('Payment by Source'!$A271,'Budget by Source'!$A$6:$A$335,0),MATCH(S$3,'Budget by Source'!$A$5:$I$5,0))-(ROUND(INDEX('Budget by Source'!$A$6:$I$335,MATCH('Payment by Source'!$A271,'Budget by Source'!$A$6:$A$335,0),MATCH(S$3,'Budget by Source'!$A$5:$I$5,0))/10,0)*10)</f>
        <v>-2</v>
      </c>
      <c r="T271" s="158">
        <f>INDEX('Budget by Source'!$A$6:$I$335,MATCH('Payment by Source'!$A271,'Budget by Source'!$A$6:$A$335,0),MATCH(T$3,'Budget by Source'!$A$5:$I$5,0))-(ROUND(INDEX('Budget by Source'!$A$6:$I$335,MATCH('Payment by Source'!$A271,'Budget by Source'!$A$6:$A$335,0),MATCH(T$3,'Budget by Source'!$A$5:$I$5,0))/10,0)*10)</f>
        <v>1</v>
      </c>
      <c r="U271" s="159">
        <f>INDEX('Budget by Source'!$A$6:$I$335,MATCH('Payment by Source'!$A271,'Budget by Source'!$A$6:$A$335,0),MATCH(U$3,'Budget by Source'!$A$5:$I$5,0))</f>
        <v>3455256</v>
      </c>
      <c r="V271" s="156">
        <f t="shared" si="13"/>
        <v>345526</v>
      </c>
      <c r="W271" s="156">
        <f t="shared" si="14"/>
        <v>3455260</v>
      </c>
    </row>
    <row r="272" spans="1:23" x14ac:dyDescent="0.2">
      <c r="A272" s="23" t="str">
        <f>Data!B268</f>
        <v>6093</v>
      </c>
      <c r="B272" s="21" t="str">
        <f>INDEX(Data[],MATCH($A272,Data[Dist],0),MATCH(B$5,Data[#Headers],0))</f>
        <v>Solon</v>
      </c>
      <c r="C272" s="22">
        <f>IF(Notes!$B$2="June",ROUND('Budget by Source'!C272/10,0)+P272,ROUND('Budget by Source'!C272/10,0))</f>
        <v>19440</v>
      </c>
      <c r="D272" s="22">
        <f>IF(Notes!$B$2="June",ROUND('Budget by Source'!D272/10,0)+Q272,ROUND('Budget by Source'!D272/10,0))</f>
        <v>75006</v>
      </c>
      <c r="E272" s="22">
        <f>IF(Notes!$B$2="June",ROUND('Budget by Source'!E272/10,0)+R272,ROUND('Budget by Source'!E272/10,0))</f>
        <v>7083</v>
      </c>
      <c r="F272" s="22">
        <f>IF(Notes!$B$2="June",ROUND('Budget by Source'!F272/10,0)+S272,ROUND('Budget by Source'!F272/10,0))</f>
        <v>7762</v>
      </c>
      <c r="G272" s="22">
        <f>IF(Notes!$B$2="June",ROUND('Budget by Source'!G272/10,0)+T272,ROUND('Budget by Source'!G272/10,0))</f>
        <v>44139</v>
      </c>
      <c r="H272" s="22">
        <f t="shared" si="12"/>
        <v>594453</v>
      </c>
      <c r="I272" s="22">
        <f>INDEX(Data[],MATCH($A272,Data[Dist],0),MATCH(I$5,Data[#Headers],0))</f>
        <v>747883</v>
      </c>
      <c r="K272" s="70">
        <f>INDEX('Payment Total'!$A$7:$H$336,MATCH('Payment by Source'!$A272,'Payment Total'!$A$7:$A$336,0),6)-I272</f>
        <v>0</v>
      </c>
      <c r="P272" s="158">
        <f>INDEX('Budget by Source'!$A$6:$I$335,MATCH('Payment by Source'!$A272,'Budget by Source'!$A$6:$A$335,0),MATCH(P$3,'Budget by Source'!$A$5:$I$5,0))-(ROUND(INDEX('Budget by Source'!$A$6:$I$335,MATCH('Payment by Source'!$A272,'Budget by Source'!$A$6:$A$335,0),MATCH(P$3,'Budget by Source'!$A$5:$I$5,0))/10,0)*10)</f>
        <v>2</v>
      </c>
      <c r="Q272" s="158">
        <f>INDEX('Budget by Source'!$A$6:$I$335,MATCH('Payment by Source'!$A272,'Budget by Source'!$A$6:$A$335,0),MATCH(Q$3,'Budget by Source'!$A$5:$I$5,0))-(ROUND(INDEX('Budget by Source'!$A$6:$I$335,MATCH('Payment by Source'!$A272,'Budget by Source'!$A$6:$A$335,0),MATCH(Q$3,'Budget by Source'!$A$5:$I$5,0))/10,0)*10)</f>
        <v>0</v>
      </c>
      <c r="R272" s="158">
        <f>INDEX('Budget by Source'!$A$6:$I$335,MATCH('Payment by Source'!$A272,'Budget by Source'!$A$6:$A$335,0),MATCH(R$3,'Budget by Source'!$A$5:$I$5,0))-(ROUND(INDEX('Budget by Source'!$A$6:$I$335,MATCH('Payment by Source'!$A272,'Budget by Source'!$A$6:$A$335,0),MATCH(R$3,'Budget by Source'!$A$5:$I$5,0))/10,0)*10)</f>
        <v>1</v>
      </c>
      <c r="S272" s="158">
        <f>INDEX('Budget by Source'!$A$6:$I$335,MATCH('Payment by Source'!$A272,'Budget by Source'!$A$6:$A$335,0),MATCH(S$3,'Budget by Source'!$A$5:$I$5,0))-(ROUND(INDEX('Budget by Source'!$A$6:$I$335,MATCH('Payment by Source'!$A272,'Budget by Source'!$A$6:$A$335,0),MATCH(S$3,'Budget by Source'!$A$5:$I$5,0))/10,0)*10)</f>
        <v>3</v>
      </c>
      <c r="T272" s="158">
        <f>INDEX('Budget by Source'!$A$6:$I$335,MATCH('Payment by Source'!$A272,'Budget by Source'!$A$6:$A$335,0),MATCH(T$3,'Budget by Source'!$A$5:$I$5,0))-(ROUND(INDEX('Budget by Source'!$A$6:$I$335,MATCH('Payment by Source'!$A272,'Budget by Source'!$A$6:$A$335,0),MATCH(T$3,'Budget by Source'!$A$5:$I$5,0))/10,0)*10)</f>
        <v>3</v>
      </c>
      <c r="U272" s="159">
        <f>INDEX('Budget by Source'!$A$6:$I$335,MATCH('Payment by Source'!$A272,'Budget by Source'!$A$6:$A$335,0),MATCH(U$3,'Budget by Source'!$A$5:$I$5,0))</f>
        <v>5967120</v>
      </c>
      <c r="V272" s="156">
        <f t="shared" si="13"/>
        <v>596712</v>
      </c>
      <c r="W272" s="156">
        <f t="shared" si="14"/>
        <v>5967120</v>
      </c>
    </row>
    <row r="273" spans="1:23" x14ac:dyDescent="0.2">
      <c r="A273" s="23" t="str">
        <f>Data!B269</f>
        <v>6094</v>
      </c>
      <c r="B273" s="21" t="str">
        <f>INDEX(Data[],MATCH($A273,Data[Dist],0),MATCH(B$5,Data[#Headers],0))</f>
        <v>Southeast Warren</v>
      </c>
      <c r="C273" s="22">
        <f>IF(Notes!$B$2="June",ROUND('Budget by Source'!C273/10,0)+P273,ROUND('Budget by Source'!C273/10,0))</f>
        <v>9047</v>
      </c>
      <c r="D273" s="22">
        <f>IF(Notes!$B$2="June",ROUND('Budget by Source'!D273/10,0)+Q273,ROUND('Budget by Source'!D273/10,0))</f>
        <v>34084</v>
      </c>
      <c r="E273" s="22">
        <f>IF(Notes!$B$2="June",ROUND('Budget by Source'!E273/10,0)+R273,ROUND('Budget by Source'!E273/10,0))</f>
        <v>3463</v>
      </c>
      <c r="F273" s="22">
        <f>IF(Notes!$B$2="June",ROUND('Budget by Source'!F273/10,0)+S273,ROUND('Budget by Source'!F273/10,0))</f>
        <v>3599</v>
      </c>
      <c r="G273" s="22">
        <f>IF(Notes!$B$2="June",ROUND('Budget by Source'!G273/10,0)+T273,ROUND('Budget by Source'!G273/10,0))</f>
        <v>18801</v>
      </c>
      <c r="H273" s="22">
        <f t="shared" si="12"/>
        <v>295029</v>
      </c>
      <c r="I273" s="22">
        <f>INDEX(Data[],MATCH($A273,Data[Dist],0),MATCH(I$5,Data[#Headers],0))</f>
        <v>364023</v>
      </c>
      <c r="K273" s="70">
        <f>INDEX('Payment Total'!$A$7:$H$336,MATCH('Payment by Source'!$A273,'Payment Total'!$A$7:$A$336,0),6)-I273</f>
        <v>0</v>
      </c>
      <c r="P273" s="158">
        <f>INDEX('Budget by Source'!$A$6:$I$335,MATCH('Payment by Source'!$A273,'Budget by Source'!$A$6:$A$335,0),MATCH(P$3,'Budget by Source'!$A$5:$I$5,0))-(ROUND(INDEX('Budget by Source'!$A$6:$I$335,MATCH('Payment by Source'!$A273,'Budget by Source'!$A$6:$A$335,0),MATCH(P$3,'Budget by Source'!$A$5:$I$5,0))/10,0)*10)</f>
        <v>-2</v>
      </c>
      <c r="Q273" s="158">
        <f>INDEX('Budget by Source'!$A$6:$I$335,MATCH('Payment by Source'!$A273,'Budget by Source'!$A$6:$A$335,0),MATCH(Q$3,'Budget by Source'!$A$5:$I$5,0))-(ROUND(INDEX('Budget by Source'!$A$6:$I$335,MATCH('Payment by Source'!$A273,'Budget by Source'!$A$6:$A$335,0),MATCH(Q$3,'Budget by Source'!$A$5:$I$5,0))/10,0)*10)</f>
        <v>-4</v>
      </c>
      <c r="R273" s="158">
        <f>INDEX('Budget by Source'!$A$6:$I$335,MATCH('Payment by Source'!$A273,'Budget by Source'!$A$6:$A$335,0),MATCH(R$3,'Budget by Source'!$A$5:$I$5,0))-(ROUND(INDEX('Budget by Source'!$A$6:$I$335,MATCH('Payment by Source'!$A273,'Budget by Source'!$A$6:$A$335,0),MATCH(R$3,'Budget by Source'!$A$5:$I$5,0))/10,0)*10)</f>
        <v>4</v>
      </c>
      <c r="S273" s="158">
        <f>INDEX('Budget by Source'!$A$6:$I$335,MATCH('Payment by Source'!$A273,'Budget by Source'!$A$6:$A$335,0),MATCH(S$3,'Budget by Source'!$A$5:$I$5,0))-(ROUND(INDEX('Budget by Source'!$A$6:$I$335,MATCH('Payment by Source'!$A273,'Budget by Source'!$A$6:$A$335,0),MATCH(S$3,'Budget by Source'!$A$5:$I$5,0))/10,0)*10)</f>
        <v>2</v>
      </c>
      <c r="T273" s="158">
        <f>INDEX('Budget by Source'!$A$6:$I$335,MATCH('Payment by Source'!$A273,'Budget by Source'!$A$6:$A$335,0),MATCH(T$3,'Budget by Source'!$A$5:$I$5,0))-(ROUND(INDEX('Budget by Source'!$A$6:$I$335,MATCH('Payment by Source'!$A273,'Budget by Source'!$A$6:$A$335,0),MATCH(T$3,'Budget by Source'!$A$5:$I$5,0))/10,0)*10)</f>
        <v>-4</v>
      </c>
      <c r="U273" s="159">
        <f>INDEX('Budget by Source'!$A$6:$I$335,MATCH('Payment by Source'!$A273,'Budget by Source'!$A$6:$A$335,0),MATCH(U$3,'Budget by Source'!$A$5:$I$5,0))</f>
        <v>2959470</v>
      </c>
      <c r="V273" s="156">
        <f t="shared" si="13"/>
        <v>295947</v>
      </c>
      <c r="W273" s="156">
        <f t="shared" si="14"/>
        <v>2959470</v>
      </c>
    </row>
    <row r="274" spans="1:23" x14ac:dyDescent="0.2">
      <c r="A274" s="23" t="str">
        <f>Data!B270</f>
        <v>6095</v>
      </c>
      <c r="B274" s="21" t="str">
        <f>INDEX(Data[],MATCH($A274,Data[Dist],0),MATCH(B$5,Data[#Headers],0))</f>
        <v>South Hamilton</v>
      </c>
      <c r="C274" s="22">
        <f>IF(Notes!$B$2="June",ROUND('Budget by Source'!C274/10,0)+P274,ROUND('Budget by Source'!C274/10,0))</f>
        <v>12402</v>
      </c>
      <c r="D274" s="22">
        <f>IF(Notes!$B$2="June",ROUND('Budget by Source'!D274/10,0)+Q274,ROUND('Budget by Source'!D274/10,0))</f>
        <v>41101</v>
      </c>
      <c r="E274" s="22">
        <f>IF(Notes!$B$2="June",ROUND('Budget by Source'!E274/10,0)+R274,ROUND('Budget by Source'!E274/10,0))</f>
        <v>4630</v>
      </c>
      <c r="F274" s="22">
        <f>IF(Notes!$B$2="June",ROUND('Budget by Source'!F274/10,0)+S274,ROUND('Budget by Source'!F274/10,0))</f>
        <v>4858</v>
      </c>
      <c r="G274" s="22">
        <f>IF(Notes!$B$2="June",ROUND('Budget by Source'!G274/10,0)+T274,ROUND('Budget by Source'!G274/10,0))</f>
        <v>20804</v>
      </c>
      <c r="H274" s="22">
        <f t="shared" si="12"/>
        <v>259058</v>
      </c>
      <c r="I274" s="22">
        <f>INDEX(Data[],MATCH($A274,Data[Dist],0),MATCH(I$5,Data[#Headers],0))</f>
        <v>342853</v>
      </c>
      <c r="K274" s="70">
        <f>INDEX('Payment Total'!$A$7:$H$336,MATCH('Payment by Source'!$A274,'Payment Total'!$A$7:$A$336,0),6)-I274</f>
        <v>0</v>
      </c>
      <c r="P274" s="158">
        <f>INDEX('Budget by Source'!$A$6:$I$335,MATCH('Payment by Source'!$A274,'Budget by Source'!$A$6:$A$335,0),MATCH(P$3,'Budget by Source'!$A$5:$I$5,0))-(ROUND(INDEX('Budget by Source'!$A$6:$I$335,MATCH('Payment by Source'!$A274,'Budget by Source'!$A$6:$A$335,0),MATCH(P$3,'Budget by Source'!$A$5:$I$5,0))/10,0)*10)</f>
        <v>2</v>
      </c>
      <c r="Q274" s="158">
        <f>INDEX('Budget by Source'!$A$6:$I$335,MATCH('Payment by Source'!$A274,'Budget by Source'!$A$6:$A$335,0),MATCH(Q$3,'Budget by Source'!$A$5:$I$5,0))-(ROUND(INDEX('Budget by Source'!$A$6:$I$335,MATCH('Payment by Source'!$A274,'Budget by Source'!$A$6:$A$335,0),MATCH(Q$3,'Budget by Source'!$A$5:$I$5,0))/10,0)*10)</f>
        <v>-1</v>
      </c>
      <c r="R274" s="158">
        <f>INDEX('Budget by Source'!$A$6:$I$335,MATCH('Payment by Source'!$A274,'Budget by Source'!$A$6:$A$335,0),MATCH(R$3,'Budget by Source'!$A$5:$I$5,0))-(ROUND(INDEX('Budget by Source'!$A$6:$I$335,MATCH('Payment by Source'!$A274,'Budget by Source'!$A$6:$A$335,0),MATCH(R$3,'Budget by Source'!$A$5:$I$5,0))/10,0)*10)</f>
        <v>3</v>
      </c>
      <c r="S274" s="158">
        <f>INDEX('Budget by Source'!$A$6:$I$335,MATCH('Payment by Source'!$A274,'Budget by Source'!$A$6:$A$335,0),MATCH(S$3,'Budget by Source'!$A$5:$I$5,0))-(ROUND(INDEX('Budget by Source'!$A$6:$I$335,MATCH('Payment by Source'!$A274,'Budget by Source'!$A$6:$A$335,0),MATCH(S$3,'Budget by Source'!$A$5:$I$5,0))/10,0)*10)</f>
        <v>-2</v>
      </c>
      <c r="T274" s="158">
        <f>INDEX('Budget by Source'!$A$6:$I$335,MATCH('Payment by Source'!$A274,'Budget by Source'!$A$6:$A$335,0),MATCH(T$3,'Budget by Source'!$A$5:$I$5,0))-(ROUND(INDEX('Budget by Source'!$A$6:$I$335,MATCH('Payment by Source'!$A274,'Budget by Source'!$A$6:$A$335,0),MATCH(T$3,'Budget by Source'!$A$5:$I$5,0))/10,0)*10)</f>
        <v>3</v>
      </c>
      <c r="U274" s="159">
        <f>INDEX('Budget by Source'!$A$6:$I$335,MATCH('Payment by Source'!$A274,'Budget by Source'!$A$6:$A$335,0),MATCH(U$3,'Budget by Source'!$A$5:$I$5,0))</f>
        <v>2601249</v>
      </c>
      <c r="V274" s="156">
        <f t="shared" si="13"/>
        <v>260125</v>
      </c>
      <c r="W274" s="156">
        <f t="shared" si="14"/>
        <v>2601250</v>
      </c>
    </row>
    <row r="275" spans="1:23" x14ac:dyDescent="0.2">
      <c r="A275" s="23" t="str">
        <f>Data!B271</f>
        <v>6096</v>
      </c>
      <c r="B275" s="21" t="str">
        <f>INDEX(Data[],MATCH($A275,Data[Dist],0),MATCH(B$5,Data[#Headers],0))</f>
        <v>Southeast Webster-Grand</v>
      </c>
      <c r="C275" s="22">
        <f>IF(Notes!$B$2="June",ROUND('Budget by Source'!C275/10,0)+P275,ROUND('Budget by Source'!C275/10,0))</f>
        <v>8374</v>
      </c>
      <c r="D275" s="22">
        <f>IF(Notes!$B$2="June",ROUND('Budget by Source'!D275/10,0)+Q275,ROUND('Budget by Source'!D275/10,0))</f>
        <v>35297</v>
      </c>
      <c r="E275" s="22">
        <f>IF(Notes!$B$2="June",ROUND('Budget by Source'!E275/10,0)+R275,ROUND('Budget by Source'!E275/10,0))</f>
        <v>4271</v>
      </c>
      <c r="F275" s="22">
        <f>IF(Notes!$B$2="June",ROUND('Budget by Source'!F275/10,0)+S275,ROUND('Budget by Source'!F275/10,0))</f>
        <v>4102</v>
      </c>
      <c r="G275" s="22">
        <f>IF(Notes!$B$2="June",ROUND('Budget by Source'!G275/10,0)+T275,ROUND('Budget by Source'!G275/10,0))</f>
        <v>17953</v>
      </c>
      <c r="H275" s="22">
        <f t="shared" si="12"/>
        <v>267318</v>
      </c>
      <c r="I275" s="22">
        <f>INDEX(Data[],MATCH($A275,Data[Dist],0),MATCH(I$5,Data[#Headers],0))</f>
        <v>337315</v>
      </c>
      <c r="K275" s="70">
        <f>INDEX('Payment Total'!$A$7:$H$336,MATCH('Payment by Source'!$A275,'Payment Total'!$A$7:$A$336,0),6)-I275</f>
        <v>0</v>
      </c>
      <c r="P275" s="158">
        <f>INDEX('Budget by Source'!$A$6:$I$335,MATCH('Payment by Source'!$A275,'Budget by Source'!$A$6:$A$335,0),MATCH(P$3,'Budget by Source'!$A$5:$I$5,0))-(ROUND(INDEX('Budget by Source'!$A$6:$I$335,MATCH('Payment by Source'!$A275,'Budget by Source'!$A$6:$A$335,0),MATCH(P$3,'Budget by Source'!$A$5:$I$5,0))/10,0)*10)</f>
        <v>-5</v>
      </c>
      <c r="Q275" s="158">
        <f>INDEX('Budget by Source'!$A$6:$I$335,MATCH('Payment by Source'!$A275,'Budget by Source'!$A$6:$A$335,0),MATCH(Q$3,'Budget by Source'!$A$5:$I$5,0))-(ROUND(INDEX('Budget by Source'!$A$6:$I$335,MATCH('Payment by Source'!$A275,'Budget by Source'!$A$6:$A$335,0),MATCH(Q$3,'Budget by Source'!$A$5:$I$5,0))/10,0)*10)</f>
        <v>-1</v>
      </c>
      <c r="R275" s="158">
        <f>INDEX('Budget by Source'!$A$6:$I$335,MATCH('Payment by Source'!$A275,'Budget by Source'!$A$6:$A$335,0),MATCH(R$3,'Budget by Source'!$A$5:$I$5,0))-(ROUND(INDEX('Budget by Source'!$A$6:$I$335,MATCH('Payment by Source'!$A275,'Budget by Source'!$A$6:$A$335,0),MATCH(R$3,'Budget by Source'!$A$5:$I$5,0))/10,0)*10)</f>
        <v>-4</v>
      </c>
      <c r="S275" s="158">
        <f>INDEX('Budget by Source'!$A$6:$I$335,MATCH('Payment by Source'!$A275,'Budget by Source'!$A$6:$A$335,0),MATCH(S$3,'Budget by Source'!$A$5:$I$5,0))-(ROUND(INDEX('Budget by Source'!$A$6:$I$335,MATCH('Payment by Source'!$A275,'Budget by Source'!$A$6:$A$335,0),MATCH(S$3,'Budget by Source'!$A$5:$I$5,0))/10,0)*10)</f>
        <v>-3</v>
      </c>
      <c r="T275" s="158">
        <f>INDEX('Budget by Source'!$A$6:$I$335,MATCH('Payment by Source'!$A275,'Budget by Source'!$A$6:$A$335,0),MATCH(T$3,'Budget by Source'!$A$5:$I$5,0))-(ROUND(INDEX('Budget by Source'!$A$6:$I$335,MATCH('Payment by Source'!$A275,'Budget by Source'!$A$6:$A$335,0),MATCH(T$3,'Budget by Source'!$A$5:$I$5,0))/10,0)*10)</f>
        <v>-5</v>
      </c>
      <c r="U275" s="159">
        <f>INDEX('Budget by Source'!$A$6:$I$335,MATCH('Payment by Source'!$A275,'Budget by Source'!$A$6:$A$335,0),MATCH(U$3,'Budget by Source'!$A$5:$I$5,0))</f>
        <v>2682196</v>
      </c>
      <c r="V275" s="156">
        <f t="shared" si="13"/>
        <v>268220</v>
      </c>
      <c r="W275" s="156">
        <f t="shared" si="14"/>
        <v>2682200</v>
      </c>
    </row>
    <row r="276" spans="1:23" x14ac:dyDescent="0.2">
      <c r="A276" s="23" t="str">
        <f>Data!B272</f>
        <v>6097</v>
      </c>
      <c r="B276" s="21" t="str">
        <f>INDEX(Data[],MATCH($A276,Data[Dist],0),MATCH(B$5,Data[#Headers],0))</f>
        <v>South Page</v>
      </c>
      <c r="C276" s="22">
        <f>IF(Notes!$B$2="June",ROUND('Budget by Source'!C276/10,0)+P276,ROUND('Budget by Source'!C276/10,0))</f>
        <v>4019</v>
      </c>
      <c r="D276" s="22">
        <f>IF(Notes!$B$2="June",ROUND('Budget by Source'!D276/10,0)+Q276,ROUND('Budget by Source'!D276/10,0))</f>
        <v>13990</v>
      </c>
      <c r="E276" s="22">
        <f>IF(Notes!$B$2="June",ROUND('Budget by Source'!E276/10,0)+R276,ROUND('Budget by Source'!E276/10,0))</f>
        <v>1162</v>
      </c>
      <c r="F276" s="22">
        <f>IF(Notes!$B$2="June",ROUND('Budget by Source'!F276/10,0)+S276,ROUND('Budget by Source'!F276/10,0))</f>
        <v>1409</v>
      </c>
      <c r="G276" s="22">
        <f>IF(Notes!$B$2="June",ROUND('Budget by Source'!G276/10,0)+T276,ROUND('Budget by Source'!G276/10,0))</f>
        <v>6760</v>
      </c>
      <c r="H276" s="22">
        <f t="shared" si="12"/>
        <v>95516</v>
      </c>
      <c r="I276" s="22">
        <f>INDEX(Data[],MATCH($A276,Data[Dist],0),MATCH(I$5,Data[#Headers],0))</f>
        <v>122856</v>
      </c>
      <c r="K276" s="70">
        <f>INDEX('Payment Total'!$A$7:$H$336,MATCH('Payment by Source'!$A276,'Payment Total'!$A$7:$A$336,0),6)-I276</f>
        <v>0</v>
      </c>
      <c r="P276" s="158">
        <f>INDEX('Budget by Source'!$A$6:$I$335,MATCH('Payment by Source'!$A276,'Budget by Source'!$A$6:$A$335,0),MATCH(P$3,'Budget by Source'!$A$5:$I$5,0))-(ROUND(INDEX('Budget by Source'!$A$6:$I$335,MATCH('Payment by Source'!$A276,'Budget by Source'!$A$6:$A$335,0),MATCH(P$3,'Budget by Source'!$A$5:$I$5,0))/10,0)*10)</f>
        <v>-3</v>
      </c>
      <c r="Q276" s="158">
        <f>INDEX('Budget by Source'!$A$6:$I$335,MATCH('Payment by Source'!$A276,'Budget by Source'!$A$6:$A$335,0),MATCH(Q$3,'Budget by Source'!$A$5:$I$5,0))-(ROUND(INDEX('Budget by Source'!$A$6:$I$335,MATCH('Payment by Source'!$A276,'Budget by Source'!$A$6:$A$335,0),MATCH(Q$3,'Budget by Source'!$A$5:$I$5,0))/10,0)*10)</f>
        <v>0</v>
      </c>
      <c r="R276" s="158">
        <f>INDEX('Budget by Source'!$A$6:$I$335,MATCH('Payment by Source'!$A276,'Budget by Source'!$A$6:$A$335,0),MATCH(R$3,'Budget by Source'!$A$5:$I$5,0))-(ROUND(INDEX('Budget by Source'!$A$6:$I$335,MATCH('Payment by Source'!$A276,'Budget by Source'!$A$6:$A$335,0),MATCH(R$3,'Budget by Source'!$A$5:$I$5,0))/10,0)*10)</f>
        <v>2</v>
      </c>
      <c r="S276" s="158">
        <f>INDEX('Budget by Source'!$A$6:$I$335,MATCH('Payment by Source'!$A276,'Budget by Source'!$A$6:$A$335,0),MATCH(S$3,'Budget by Source'!$A$5:$I$5,0))-(ROUND(INDEX('Budget by Source'!$A$6:$I$335,MATCH('Payment by Source'!$A276,'Budget by Source'!$A$6:$A$335,0),MATCH(S$3,'Budget by Source'!$A$5:$I$5,0))/10,0)*10)</f>
        <v>1</v>
      </c>
      <c r="T276" s="158">
        <f>INDEX('Budget by Source'!$A$6:$I$335,MATCH('Payment by Source'!$A276,'Budget by Source'!$A$6:$A$335,0),MATCH(T$3,'Budget by Source'!$A$5:$I$5,0))-(ROUND(INDEX('Budget by Source'!$A$6:$I$335,MATCH('Payment by Source'!$A276,'Budget by Source'!$A$6:$A$335,0),MATCH(T$3,'Budget by Source'!$A$5:$I$5,0))/10,0)*10)</f>
        <v>-2</v>
      </c>
      <c r="U276" s="159">
        <f>INDEX('Budget by Source'!$A$6:$I$335,MATCH('Payment by Source'!$A276,'Budget by Source'!$A$6:$A$335,0),MATCH(U$3,'Budget by Source'!$A$5:$I$5,0))</f>
        <v>958594</v>
      </c>
      <c r="V276" s="156">
        <f t="shared" si="13"/>
        <v>95859</v>
      </c>
      <c r="W276" s="156">
        <f t="shared" si="14"/>
        <v>958590</v>
      </c>
    </row>
    <row r="277" spans="1:23" x14ac:dyDescent="0.2">
      <c r="A277" s="23" t="str">
        <f>Data!B273</f>
        <v>6098</v>
      </c>
      <c r="B277" s="21" t="str">
        <f>INDEX(Data[],MATCH($A277,Data[Dist],0),MATCH(B$5,Data[#Headers],0))</f>
        <v>South Tama</v>
      </c>
      <c r="C277" s="22">
        <f>IF(Notes!$B$2="June",ROUND('Budget by Source'!C277/10,0)+P277,ROUND('Budget by Source'!C277/10,0))</f>
        <v>28487</v>
      </c>
      <c r="D277" s="22">
        <f>IF(Notes!$B$2="June",ROUND('Budget by Source'!D277/10,0)+Q277,ROUND('Budget by Source'!D277/10,0))</f>
        <v>92830</v>
      </c>
      <c r="E277" s="22">
        <f>IF(Notes!$B$2="June",ROUND('Budget by Source'!E277/10,0)+R277,ROUND('Budget by Source'!E277/10,0))</f>
        <v>12123</v>
      </c>
      <c r="F277" s="22">
        <f>IF(Notes!$B$2="June",ROUND('Budget by Source'!F277/10,0)+S277,ROUND('Budget by Source'!F277/10,0))</f>
        <v>9658</v>
      </c>
      <c r="G277" s="22">
        <f>IF(Notes!$B$2="June",ROUND('Budget by Source'!G277/10,0)+T277,ROUND('Budget by Source'!G277/10,0))</f>
        <v>50590</v>
      </c>
      <c r="H277" s="22">
        <f t="shared" si="12"/>
        <v>893795</v>
      </c>
      <c r="I277" s="22">
        <f>INDEX(Data[],MATCH($A277,Data[Dist],0),MATCH(I$5,Data[#Headers],0))</f>
        <v>1087483</v>
      </c>
      <c r="K277" s="70">
        <f>INDEX('Payment Total'!$A$7:$H$336,MATCH('Payment by Source'!$A277,'Payment Total'!$A$7:$A$336,0),6)-I277</f>
        <v>0</v>
      </c>
      <c r="P277" s="158">
        <f>INDEX('Budget by Source'!$A$6:$I$335,MATCH('Payment by Source'!$A277,'Budget by Source'!$A$6:$A$335,0),MATCH(P$3,'Budget by Source'!$A$5:$I$5,0))-(ROUND(INDEX('Budget by Source'!$A$6:$I$335,MATCH('Payment by Source'!$A277,'Budget by Source'!$A$6:$A$335,0),MATCH(P$3,'Budget by Source'!$A$5:$I$5,0))/10,0)*10)</f>
        <v>0</v>
      </c>
      <c r="Q277" s="158">
        <f>INDEX('Budget by Source'!$A$6:$I$335,MATCH('Payment by Source'!$A277,'Budget by Source'!$A$6:$A$335,0),MATCH(Q$3,'Budget by Source'!$A$5:$I$5,0))-(ROUND(INDEX('Budget by Source'!$A$6:$I$335,MATCH('Payment by Source'!$A277,'Budget by Source'!$A$6:$A$335,0),MATCH(Q$3,'Budget by Source'!$A$5:$I$5,0))/10,0)*10)</f>
        <v>4</v>
      </c>
      <c r="R277" s="158">
        <f>INDEX('Budget by Source'!$A$6:$I$335,MATCH('Payment by Source'!$A277,'Budget by Source'!$A$6:$A$335,0),MATCH(R$3,'Budget by Source'!$A$5:$I$5,0))-(ROUND(INDEX('Budget by Source'!$A$6:$I$335,MATCH('Payment by Source'!$A277,'Budget by Source'!$A$6:$A$335,0),MATCH(R$3,'Budget by Source'!$A$5:$I$5,0))/10,0)*10)</f>
        <v>4</v>
      </c>
      <c r="S277" s="158">
        <f>INDEX('Budget by Source'!$A$6:$I$335,MATCH('Payment by Source'!$A277,'Budget by Source'!$A$6:$A$335,0),MATCH(S$3,'Budget by Source'!$A$5:$I$5,0))-(ROUND(INDEX('Budget by Source'!$A$6:$I$335,MATCH('Payment by Source'!$A277,'Budget by Source'!$A$6:$A$335,0),MATCH(S$3,'Budget by Source'!$A$5:$I$5,0))/10,0)*10)</f>
        <v>-3</v>
      </c>
      <c r="T277" s="158">
        <f>INDEX('Budget by Source'!$A$6:$I$335,MATCH('Payment by Source'!$A277,'Budget by Source'!$A$6:$A$335,0),MATCH(T$3,'Budget by Source'!$A$5:$I$5,0))-(ROUND(INDEX('Budget by Source'!$A$6:$I$335,MATCH('Payment by Source'!$A277,'Budget by Source'!$A$6:$A$335,0),MATCH(T$3,'Budget by Source'!$A$5:$I$5,0))/10,0)*10)</f>
        <v>-2</v>
      </c>
      <c r="U277" s="159">
        <f>INDEX('Budget by Source'!$A$6:$I$335,MATCH('Payment by Source'!$A277,'Budget by Source'!$A$6:$A$335,0),MATCH(U$3,'Budget by Source'!$A$5:$I$5,0))</f>
        <v>8963634</v>
      </c>
      <c r="V277" s="156">
        <f t="shared" si="13"/>
        <v>896363</v>
      </c>
      <c r="W277" s="156">
        <f t="shared" si="14"/>
        <v>8963630</v>
      </c>
    </row>
    <row r="278" spans="1:23" x14ac:dyDescent="0.2">
      <c r="A278" s="23" t="str">
        <f>Data!B274</f>
        <v>6100</v>
      </c>
      <c r="B278" s="21" t="str">
        <f>INDEX(Data[],MATCH($A278,Data[Dist],0),MATCH(B$5,Data[#Headers],0))</f>
        <v>South Winneshiek</v>
      </c>
      <c r="C278" s="22">
        <f>IF(Notes!$B$2="June",ROUND('Budget by Source'!C278/10,0)+P278,ROUND('Budget by Source'!C278/10,0))</f>
        <v>16085</v>
      </c>
      <c r="D278" s="22">
        <f>IF(Notes!$B$2="June",ROUND('Budget by Source'!D278/10,0)+Q278,ROUND('Budget by Source'!D278/10,0))</f>
        <v>30365</v>
      </c>
      <c r="E278" s="22">
        <f>IF(Notes!$B$2="June",ROUND('Budget by Source'!E278/10,0)+R278,ROUND('Budget by Source'!E278/10,0))</f>
        <v>2646</v>
      </c>
      <c r="F278" s="22">
        <f>IF(Notes!$B$2="June",ROUND('Budget by Source'!F278/10,0)+S278,ROUND('Budget by Source'!F278/10,0))</f>
        <v>3499</v>
      </c>
      <c r="G278" s="22">
        <f>IF(Notes!$B$2="June",ROUND('Budget by Source'!G278/10,0)+T278,ROUND('Budget by Source'!G278/10,0))</f>
        <v>16520</v>
      </c>
      <c r="H278" s="22">
        <f t="shared" si="12"/>
        <v>210787</v>
      </c>
      <c r="I278" s="22">
        <f>INDEX(Data[],MATCH($A278,Data[Dist],0),MATCH(I$5,Data[#Headers],0))</f>
        <v>279902</v>
      </c>
      <c r="K278" s="70">
        <f>INDEX('Payment Total'!$A$7:$H$336,MATCH('Payment by Source'!$A278,'Payment Total'!$A$7:$A$336,0),6)-I278</f>
        <v>0</v>
      </c>
      <c r="P278" s="158">
        <f>INDEX('Budget by Source'!$A$6:$I$335,MATCH('Payment by Source'!$A278,'Budget by Source'!$A$6:$A$335,0),MATCH(P$3,'Budget by Source'!$A$5:$I$5,0))-(ROUND(INDEX('Budget by Source'!$A$6:$I$335,MATCH('Payment by Source'!$A278,'Budget by Source'!$A$6:$A$335,0),MATCH(P$3,'Budget by Source'!$A$5:$I$5,0))/10,0)*10)</f>
        <v>-2</v>
      </c>
      <c r="Q278" s="158">
        <f>INDEX('Budget by Source'!$A$6:$I$335,MATCH('Payment by Source'!$A278,'Budget by Source'!$A$6:$A$335,0),MATCH(Q$3,'Budget by Source'!$A$5:$I$5,0))-(ROUND(INDEX('Budget by Source'!$A$6:$I$335,MATCH('Payment by Source'!$A278,'Budget by Source'!$A$6:$A$335,0),MATCH(Q$3,'Budget by Source'!$A$5:$I$5,0))/10,0)*10)</f>
        <v>-3</v>
      </c>
      <c r="R278" s="158">
        <f>INDEX('Budget by Source'!$A$6:$I$335,MATCH('Payment by Source'!$A278,'Budget by Source'!$A$6:$A$335,0),MATCH(R$3,'Budget by Source'!$A$5:$I$5,0))-(ROUND(INDEX('Budget by Source'!$A$6:$I$335,MATCH('Payment by Source'!$A278,'Budget by Source'!$A$6:$A$335,0),MATCH(R$3,'Budget by Source'!$A$5:$I$5,0))/10,0)*10)</f>
        <v>4</v>
      </c>
      <c r="S278" s="158">
        <f>INDEX('Budget by Source'!$A$6:$I$335,MATCH('Payment by Source'!$A278,'Budget by Source'!$A$6:$A$335,0),MATCH(S$3,'Budget by Source'!$A$5:$I$5,0))-(ROUND(INDEX('Budget by Source'!$A$6:$I$335,MATCH('Payment by Source'!$A278,'Budget by Source'!$A$6:$A$335,0),MATCH(S$3,'Budget by Source'!$A$5:$I$5,0))/10,0)*10)</f>
        <v>3</v>
      </c>
      <c r="T278" s="158">
        <f>INDEX('Budget by Source'!$A$6:$I$335,MATCH('Payment by Source'!$A278,'Budget by Source'!$A$6:$A$335,0),MATCH(T$3,'Budget by Source'!$A$5:$I$5,0))-(ROUND(INDEX('Budget by Source'!$A$6:$I$335,MATCH('Payment by Source'!$A278,'Budget by Source'!$A$6:$A$335,0),MATCH(T$3,'Budget by Source'!$A$5:$I$5,0))/10,0)*10)</f>
        <v>1</v>
      </c>
      <c r="U278" s="159">
        <f>INDEX('Budget by Source'!$A$6:$I$335,MATCH('Payment by Source'!$A278,'Budget by Source'!$A$6:$A$335,0),MATCH(U$3,'Budget by Source'!$A$5:$I$5,0))</f>
        <v>2116168</v>
      </c>
      <c r="V278" s="156">
        <f t="shared" si="13"/>
        <v>211617</v>
      </c>
      <c r="W278" s="156">
        <f t="shared" si="14"/>
        <v>2116170</v>
      </c>
    </row>
    <row r="279" spans="1:23" x14ac:dyDescent="0.2">
      <c r="A279" s="23" t="str">
        <f>Data!B275</f>
        <v>6101</v>
      </c>
      <c r="B279" s="21" t="str">
        <f>INDEX(Data[],MATCH($A279,Data[Dist],0),MATCH(B$5,Data[#Headers],0))</f>
        <v>Southeast Polk</v>
      </c>
      <c r="C279" s="22">
        <f>IF(Notes!$B$2="June",ROUND('Budget by Source'!C279/10,0)+P279,ROUND('Budget by Source'!C279/10,0))</f>
        <v>88146</v>
      </c>
      <c r="D279" s="22">
        <f>IF(Notes!$B$2="June",ROUND('Budget by Source'!D279/10,0)+Q279,ROUND('Budget by Source'!D279/10,0))</f>
        <v>373735</v>
      </c>
      <c r="E279" s="22">
        <f>IF(Notes!$B$2="June",ROUND('Budget by Source'!E279/10,0)+R279,ROUND('Budget by Source'!E279/10,0))</f>
        <v>42451</v>
      </c>
      <c r="F279" s="22">
        <f>IF(Notes!$B$2="June",ROUND('Budget by Source'!F279/10,0)+S279,ROUND('Budget by Source'!F279/10,0))</f>
        <v>42789</v>
      </c>
      <c r="G279" s="22">
        <f>IF(Notes!$B$2="June",ROUND('Budget by Source'!G279/10,0)+T279,ROUND('Budget by Source'!G279/10,0))</f>
        <v>223429</v>
      </c>
      <c r="H279" s="22">
        <f t="shared" si="12"/>
        <v>3490407</v>
      </c>
      <c r="I279" s="22">
        <f>INDEX(Data[],MATCH($A279,Data[Dist],0),MATCH(I$5,Data[#Headers],0))</f>
        <v>4260957</v>
      </c>
      <c r="K279" s="70">
        <f>INDEX('Payment Total'!$A$7:$H$336,MATCH('Payment by Source'!$A279,'Payment Total'!$A$7:$A$336,0),6)-I279</f>
        <v>0</v>
      </c>
      <c r="P279" s="158">
        <f>INDEX('Budget by Source'!$A$6:$I$335,MATCH('Payment by Source'!$A279,'Budget by Source'!$A$6:$A$335,0),MATCH(P$3,'Budget by Source'!$A$5:$I$5,0))-(ROUND(INDEX('Budget by Source'!$A$6:$I$335,MATCH('Payment by Source'!$A279,'Budget by Source'!$A$6:$A$335,0),MATCH(P$3,'Budget by Source'!$A$5:$I$5,0))/10,0)*10)</f>
        <v>2</v>
      </c>
      <c r="Q279" s="158">
        <f>INDEX('Budget by Source'!$A$6:$I$335,MATCH('Payment by Source'!$A279,'Budget by Source'!$A$6:$A$335,0),MATCH(Q$3,'Budget by Source'!$A$5:$I$5,0))-(ROUND(INDEX('Budget by Source'!$A$6:$I$335,MATCH('Payment by Source'!$A279,'Budget by Source'!$A$6:$A$335,0),MATCH(Q$3,'Budget by Source'!$A$5:$I$5,0))/10,0)*10)</f>
        <v>-1</v>
      </c>
      <c r="R279" s="158">
        <f>INDEX('Budget by Source'!$A$6:$I$335,MATCH('Payment by Source'!$A279,'Budget by Source'!$A$6:$A$335,0),MATCH(R$3,'Budget by Source'!$A$5:$I$5,0))-(ROUND(INDEX('Budget by Source'!$A$6:$I$335,MATCH('Payment by Source'!$A279,'Budget by Source'!$A$6:$A$335,0),MATCH(R$3,'Budget by Source'!$A$5:$I$5,0))/10,0)*10)</f>
        <v>-4</v>
      </c>
      <c r="S279" s="158">
        <f>INDEX('Budget by Source'!$A$6:$I$335,MATCH('Payment by Source'!$A279,'Budget by Source'!$A$6:$A$335,0),MATCH(S$3,'Budget by Source'!$A$5:$I$5,0))-(ROUND(INDEX('Budget by Source'!$A$6:$I$335,MATCH('Payment by Source'!$A279,'Budget by Source'!$A$6:$A$335,0),MATCH(S$3,'Budget by Source'!$A$5:$I$5,0))/10,0)*10)</f>
        <v>-1</v>
      </c>
      <c r="T279" s="158">
        <f>INDEX('Budget by Source'!$A$6:$I$335,MATCH('Payment by Source'!$A279,'Budget by Source'!$A$6:$A$335,0),MATCH(T$3,'Budget by Source'!$A$5:$I$5,0))-(ROUND(INDEX('Budget by Source'!$A$6:$I$335,MATCH('Payment by Source'!$A279,'Budget by Source'!$A$6:$A$335,0),MATCH(T$3,'Budget by Source'!$A$5:$I$5,0))/10,0)*10)</f>
        <v>2</v>
      </c>
      <c r="U279" s="159">
        <f>INDEX('Budget by Source'!$A$6:$I$335,MATCH('Payment by Source'!$A279,'Budget by Source'!$A$6:$A$335,0),MATCH(U$3,'Budget by Source'!$A$5:$I$5,0))</f>
        <v>35017999</v>
      </c>
      <c r="V279" s="156">
        <f t="shared" si="13"/>
        <v>3501800</v>
      </c>
      <c r="W279" s="156">
        <f t="shared" si="14"/>
        <v>35018000</v>
      </c>
    </row>
    <row r="280" spans="1:23" x14ac:dyDescent="0.2">
      <c r="A280" s="23" t="str">
        <f>Data!B276</f>
        <v>6102</v>
      </c>
      <c r="B280" s="21" t="str">
        <f>INDEX(Data[],MATCH($A280,Data[Dist],0),MATCH(B$5,Data[#Headers],0))</f>
        <v>Spencer</v>
      </c>
      <c r="C280" s="22">
        <f>IF(Notes!$B$2="June",ROUND('Budget by Source'!C280/10,0)+P280,ROUND('Budget by Source'!C280/10,0))</f>
        <v>50937</v>
      </c>
      <c r="D280" s="22">
        <f>IF(Notes!$B$2="June",ROUND('Budget by Source'!D280/10,0)+Q280,ROUND('Budget by Source'!D280/10,0))</f>
        <v>111574</v>
      </c>
      <c r="E280" s="22">
        <f>IF(Notes!$B$2="June",ROUND('Budget by Source'!E280/10,0)+R280,ROUND('Budget by Source'!E280/10,0))</f>
        <v>13222</v>
      </c>
      <c r="F280" s="22">
        <f>IF(Notes!$B$2="June",ROUND('Budget by Source'!F280/10,0)+S280,ROUND('Budget by Source'!F280/10,0))</f>
        <v>13482</v>
      </c>
      <c r="G280" s="22">
        <f>IF(Notes!$B$2="June",ROUND('Budget by Source'!G280/10,0)+T280,ROUND('Budget by Source'!G280/10,0))</f>
        <v>61938</v>
      </c>
      <c r="H280" s="22">
        <f t="shared" si="12"/>
        <v>940431</v>
      </c>
      <c r="I280" s="22">
        <f>INDEX(Data[],MATCH($A280,Data[Dist],0),MATCH(I$5,Data[#Headers],0))</f>
        <v>1191584</v>
      </c>
      <c r="K280" s="70">
        <f>INDEX('Payment Total'!$A$7:$H$336,MATCH('Payment by Source'!$A280,'Payment Total'!$A$7:$A$336,0),6)-I280</f>
        <v>0</v>
      </c>
      <c r="P280" s="158">
        <f>INDEX('Budget by Source'!$A$6:$I$335,MATCH('Payment by Source'!$A280,'Budget by Source'!$A$6:$A$335,0),MATCH(P$3,'Budget by Source'!$A$5:$I$5,0))-(ROUND(INDEX('Budget by Source'!$A$6:$I$335,MATCH('Payment by Source'!$A280,'Budget by Source'!$A$6:$A$335,0),MATCH(P$3,'Budget by Source'!$A$5:$I$5,0))/10,0)*10)</f>
        <v>-5</v>
      </c>
      <c r="Q280" s="158">
        <f>INDEX('Budget by Source'!$A$6:$I$335,MATCH('Payment by Source'!$A280,'Budget by Source'!$A$6:$A$335,0),MATCH(Q$3,'Budget by Source'!$A$5:$I$5,0))-(ROUND(INDEX('Budget by Source'!$A$6:$I$335,MATCH('Payment by Source'!$A280,'Budget by Source'!$A$6:$A$335,0),MATCH(Q$3,'Budget by Source'!$A$5:$I$5,0))/10,0)*10)</f>
        <v>0</v>
      </c>
      <c r="R280" s="158">
        <f>INDEX('Budget by Source'!$A$6:$I$335,MATCH('Payment by Source'!$A280,'Budget by Source'!$A$6:$A$335,0),MATCH(R$3,'Budget by Source'!$A$5:$I$5,0))-(ROUND(INDEX('Budget by Source'!$A$6:$I$335,MATCH('Payment by Source'!$A280,'Budget by Source'!$A$6:$A$335,0),MATCH(R$3,'Budget by Source'!$A$5:$I$5,0))/10,0)*10)</f>
        <v>2</v>
      </c>
      <c r="S280" s="158">
        <f>INDEX('Budget by Source'!$A$6:$I$335,MATCH('Payment by Source'!$A280,'Budget by Source'!$A$6:$A$335,0),MATCH(S$3,'Budget by Source'!$A$5:$I$5,0))-(ROUND(INDEX('Budget by Source'!$A$6:$I$335,MATCH('Payment by Source'!$A280,'Budget by Source'!$A$6:$A$335,0),MATCH(S$3,'Budget by Source'!$A$5:$I$5,0))/10,0)*10)</f>
        <v>0</v>
      </c>
      <c r="T280" s="158">
        <f>INDEX('Budget by Source'!$A$6:$I$335,MATCH('Payment by Source'!$A280,'Budget by Source'!$A$6:$A$335,0),MATCH(T$3,'Budget by Source'!$A$5:$I$5,0))-(ROUND(INDEX('Budget by Source'!$A$6:$I$335,MATCH('Payment by Source'!$A280,'Budget by Source'!$A$6:$A$335,0),MATCH(T$3,'Budget by Source'!$A$5:$I$5,0))/10,0)*10)</f>
        <v>1</v>
      </c>
      <c r="U280" s="159">
        <f>INDEX('Budget by Source'!$A$6:$I$335,MATCH('Payment by Source'!$A280,'Budget by Source'!$A$6:$A$335,0),MATCH(U$3,'Budget by Source'!$A$5:$I$5,0))</f>
        <v>9435877</v>
      </c>
      <c r="V280" s="156">
        <f t="shared" si="13"/>
        <v>943588</v>
      </c>
      <c r="W280" s="156">
        <f t="shared" si="14"/>
        <v>9435880</v>
      </c>
    </row>
    <row r="281" spans="1:23" x14ac:dyDescent="0.2">
      <c r="A281" s="23" t="str">
        <f>Data!B277</f>
        <v>6120</v>
      </c>
      <c r="B281" s="21" t="str">
        <f>INDEX(Data[],MATCH($A281,Data[Dist],0),MATCH(B$5,Data[#Headers],0))</f>
        <v>Spirit Lake</v>
      </c>
      <c r="C281" s="22">
        <f>IF(Notes!$B$2="June",ROUND('Budget by Source'!C281/10,0)+P281,ROUND('Budget by Source'!C281/10,0))</f>
        <v>18094</v>
      </c>
      <c r="D281" s="22">
        <f>IF(Notes!$B$2="June",ROUND('Budget by Source'!D281/10,0)+Q281,ROUND('Budget by Source'!D281/10,0))</f>
        <v>67682</v>
      </c>
      <c r="E281" s="22">
        <f>IF(Notes!$B$2="June",ROUND('Budget by Source'!E281/10,0)+R281,ROUND('Budget by Source'!E281/10,0))</f>
        <v>7669</v>
      </c>
      <c r="F281" s="22">
        <f>IF(Notes!$B$2="June",ROUND('Budget by Source'!F281/10,0)+S281,ROUND('Budget by Source'!F281/10,0))</f>
        <v>8027</v>
      </c>
      <c r="G281" s="22">
        <f>IF(Notes!$B$2="June",ROUND('Budget by Source'!G281/10,0)+T281,ROUND('Budget by Source'!G281/10,0))</f>
        <v>37904</v>
      </c>
      <c r="H281" s="22">
        <f t="shared" si="12"/>
        <v>122627</v>
      </c>
      <c r="I281" s="22">
        <f>INDEX(Data[],MATCH($A281,Data[Dist],0),MATCH(I$5,Data[#Headers],0))</f>
        <v>262003</v>
      </c>
      <c r="K281" s="70">
        <f>INDEX('Payment Total'!$A$7:$H$336,MATCH('Payment by Source'!$A281,'Payment Total'!$A$7:$A$336,0),6)-I281</f>
        <v>0</v>
      </c>
      <c r="P281" s="158">
        <f>INDEX('Budget by Source'!$A$6:$I$335,MATCH('Payment by Source'!$A281,'Budget by Source'!$A$6:$A$335,0),MATCH(P$3,'Budget by Source'!$A$5:$I$5,0))-(ROUND(INDEX('Budget by Source'!$A$6:$I$335,MATCH('Payment by Source'!$A281,'Budget by Source'!$A$6:$A$335,0),MATCH(P$3,'Budget by Source'!$A$5:$I$5,0))/10,0)*10)</f>
        <v>-4</v>
      </c>
      <c r="Q281" s="158">
        <f>INDEX('Budget by Source'!$A$6:$I$335,MATCH('Payment by Source'!$A281,'Budget by Source'!$A$6:$A$335,0),MATCH(Q$3,'Budget by Source'!$A$5:$I$5,0))-(ROUND(INDEX('Budget by Source'!$A$6:$I$335,MATCH('Payment by Source'!$A281,'Budget by Source'!$A$6:$A$335,0),MATCH(Q$3,'Budget by Source'!$A$5:$I$5,0))/10,0)*10)</f>
        <v>3</v>
      </c>
      <c r="R281" s="158">
        <f>INDEX('Budget by Source'!$A$6:$I$335,MATCH('Payment by Source'!$A281,'Budget by Source'!$A$6:$A$335,0),MATCH(R$3,'Budget by Source'!$A$5:$I$5,0))-(ROUND(INDEX('Budget by Source'!$A$6:$I$335,MATCH('Payment by Source'!$A281,'Budget by Source'!$A$6:$A$335,0),MATCH(R$3,'Budget by Source'!$A$5:$I$5,0))/10,0)*10)</f>
        <v>2</v>
      </c>
      <c r="S281" s="158">
        <f>INDEX('Budget by Source'!$A$6:$I$335,MATCH('Payment by Source'!$A281,'Budget by Source'!$A$6:$A$335,0),MATCH(S$3,'Budget by Source'!$A$5:$I$5,0))-(ROUND(INDEX('Budget by Source'!$A$6:$I$335,MATCH('Payment by Source'!$A281,'Budget by Source'!$A$6:$A$335,0),MATCH(S$3,'Budget by Source'!$A$5:$I$5,0))/10,0)*10)</f>
        <v>-4</v>
      </c>
      <c r="T281" s="158">
        <f>INDEX('Budget by Source'!$A$6:$I$335,MATCH('Payment by Source'!$A281,'Budget by Source'!$A$6:$A$335,0),MATCH(T$3,'Budget by Source'!$A$5:$I$5,0))-(ROUND(INDEX('Budget by Source'!$A$6:$I$335,MATCH('Payment by Source'!$A281,'Budget by Source'!$A$6:$A$335,0),MATCH(T$3,'Budget by Source'!$A$5:$I$5,0))/10,0)*10)</f>
        <v>-3</v>
      </c>
      <c r="U281" s="159">
        <f>INDEX('Budget by Source'!$A$6:$I$335,MATCH('Payment by Source'!$A281,'Budget by Source'!$A$6:$A$335,0),MATCH(U$3,'Budget by Source'!$A$5:$I$5,0))</f>
        <v>1245560</v>
      </c>
      <c r="V281" s="156">
        <f t="shared" si="13"/>
        <v>124556</v>
      </c>
      <c r="W281" s="156">
        <f t="shared" si="14"/>
        <v>1245560</v>
      </c>
    </row>
    <row r="282" spans="1:23" x14ac:dyDescent="0.2">
      <c r="A282" s="23" t="str">
        <f>Data!B278</f>
        <v>6138</v>
      </c>
      <c r="B282" s="21" t="str">
        <f>INDEX(Data[],MATCH($A282,Data[Dist],0),MATCH(B$5,Data[#Headers],0))</f>
        <v>Springville</v>
      </c>
      <c r="C282" s="22">
        <f>IF(Notes!$B$2="June",ROUND('Budget by Source'!C282/10,0)+P282,ROUND('Budget by Source'!C282/10,0))</f>
        <v>10058</v>
      </c>
      <c r="D282" s="22">
        <f>IF(Notes!$B$2="June",ROUND('Budget by Source'!D282/10,0)+Q282,ROUND('Budget by Source'!D282/10,0))</f>
        <v>24465</v>
      </c>
      <c r="E282" s="22">
        <f>IF(Notes!$B$2="June",ROUND('Budget by Source'!E282/10,0)+R282,ROUND('Budget by Source'!E282/10,0))</f>
        <v>2157</v>
      </c>
      <c r="F282" s="22">
        <f>IF(Notes!$B$2="June",ROUND('Budget by Source'!F282/10,0)+S282,ROUND('Budget by Source'!F282/10,0))</f>
        <v>2345</v>
      </c>
      <c r="G282" s="22">
        <f>IF(Notes!$B$2="June",ROUND('Budget by Source'!G282/10,0)+T282,ROUND('Budget by Source'!G282/10,0))</f>
        <v>12735</v>
      </c>
      <c r="H282" s="22">
        <f t="shared" si="12"/>
        <v>191713</v>
      </c>
      <c r="I282" s="22">
        <f>INDEX(Data[],MATCH($A282,Data[Dist],0),MATCH(I$5,Data[#Headers],0))</f>
        <v>243473</v>
      </c>
      <c r="K282" s="70">
        <f>INDEX('Payment Total'!$A$7:$H$336,MATCH('Payment by Source'!$A282,'Payment Total'!$A$7:$A$336,0),6)-I282</f>
        <v>0</v>
      </c>
      <c r="P282" s="158">
        <f>INDEX('Budget by Source'!$A$6:$I$335,MATCH('Payment by Source'!$A282,'Budget by Source'!$A$6:$A$335,0),MATCH(P$3,'Budget by Source'!$A$5:$I$5,0))-(ROUND(INDEX('Budget by Source'!$A$6:$I$335,MATCH('Payment by Source'!$A282,'Budget by Source'!$A$6:$A$335,0),MATCH(P$3,'Budget by Source'!$A$5:$I$5,0))/10,0)*10)</f>
        <v>2</v>
      </c>
      <c r="Q282" s="158">
        <f>INDEX('Budget by Source'!$A$6:$I$335,MATCH('Payment by Source'!$A282,'Budget by Source'!$A$6:$A$335,0),MATCH(Q$3,'Budget by Source'!$A$5:$I$5,0))-(ROUND(INDEX('Budget by Source'!$A$6:$I$335,MATCH('Payment by Source'!$A282,'Budget by Source'!$A$6:$A$335,0),MATCH(Q$3,'Budget by Source'!$A$5:$I$5,0))/10,0)*10)</f>
        <v>-1</v>
      </c>
      <c r="R282" s="158">
        <f>INDEX('Budget by Source'!$A$6:$I$335,MATCH('Payment by Source'!$A282,'Budget by Source'!$A$6:$A$335,0),MATCH(R$3,'Budget by Source'!$A$5:$I$5,0))-(ROUND(INDEX('Budget by Source'!$A$6:$I$335,MATCH('Payment by Source'!$A282,'Budget by Source'!$A$6:$A$335,0),MATCH(R$3,'Budget by Source'!$A$5:$I$5,0))/10,0)*10)</f>
        <v>-2</v>
      </c>
      <c r="S282" s="158">
        <f>INDEX('Budget by Source'!$A$6:$I$335,MATCH('Payment by Source'!$A282,'Budget by Source'!$A$6:$A$335,0),MATCH(S$3,'Budget by Source'!$A$5:$I$5,0))-(ROUND(INDEX('Budget by Source'!$A$6:$I$335,MATCH('Payment by Source'!$A282,'Budget by Source'!$A$6:$A$335,0),MATCH(S$3,'Budget by Source'!$A$5:$I$5,0))/10,0)*10)</f>
        <v>4</v>
      </c>
      <c r="T282" s="158">
        <f>INDEX('Budget by Source'!$A$6:$I$335,MATCH('Payment by Source'!$A282,'Budget by Source'!$A$6:$A$335,0),MATCH(T$3,'Budget by Source'!$A$5:$I$5,0))-(ROUND(INDEX('Budget by Source'!$A$6:$I$335,MATCH('Payment by Source'!$A282,'Budget by Source'!$A$6:$A$335,0),MATCH(T$3,'Budget by Source'!$A$5:$I$5,0))/10,0)*10)</f>
        <v>-2</v>
      </c>
      <c r="U282" s="159">
        <f>INDEX('Budget by Source'!$A$6:$I$335,MATCH('Payment by Source'!$A282,'Budget by Source'!$A$6:$A$335,0),MATCH(U$3,'Budget by Source'!$A$5:$I$5,0))</f>
        <v>1923649</v>
      </c>
      <c r="V282" s="156">
        <f t="shared" si="13"/>
        <v>192365</v>
      </c>
      <c r="W282" s="156">
        <f t="shared" si="14"/>
        <v>1923650</v>
      </c>
    </row>
    <row r="283" spans="1:23" x14ac:dyDescent="0.2">
      <c r="A283" s="23" t="str">
        <f>Data!B279</f>
        <v>6165</v>
      </c>
      <c r="B283" s="21" t="str">
        <f>INDEX(Data[],MATCH($A283,Data[Dist],0),MATCH(B$5,Data[#Headers],0))</f>
        <v>Stanton</v>
      </c>
      <c r="C283" s="22">
        <f>IF(Notes!$B$2="June",ROUND('Budget by Source'!C283/10,0)+P283,ROUND('Budget by Source'!C283/10,0))</f>
        <v>4692</v>
      </c>
      <c r="D283" s="22">
        <f>IF(Notes!$B$2="June",ROUND('Budget by Source'!D283/10,0)+Q283,ROUND('Budget by Source'!D283/10,0))</f>
        <v>13584</v>
      </c>
      <c r="E283" s="22">
        <f>IF(Notes!$B$2="June",ROUND('Budget by Source'!E283/10,0)+R283,ROUND('Budget by Source'!E283/10,0))</f>
        <v>1358</v>
      </c>
      <c r="F283" s="22">
        <f>IF(Notes!$B$2="June",ROUND('Budget by Source'!F283/10,0)+S283,ROUND('Budget by Source'!F283/10,0))</f>
        <v>1683</v>
      </c>
      <c r="G283" s="22">
        <f>IF(Notes!$B$2="June",ROUND('Budget by Source'!G283/10,0)+T283,ROUND('Budget by Source'!G283/10,0))</f>
        <v>6597</v>
      </c>
      <c r="H283" s="22">
        <f t="shared" si="12"/>
        <v>95125</v>
      </c>
      <c r="I283" s="22">
        <f>INDEX(Data[],MATCH($A283,Data[Dist],0),MATCH(I$5,Data[#Headers],0))</f>
        <v>123039</v>
      </c>
      <c r="K283" s="70">
        <f>INDEX('Payment Total'!$A$7:$H$336,MATCH('Payment by Source'!$A283,'Payment Total'!$A$7:$A$336,0),6)-I283</f>
        <v>0</v>
      </c>
      <c r="P283" s="158">
        <f>INDEX('Budget by Source'!$A$6:$I$335,MATCH('Payment by Source'!$A283,'Budget by Source'!$A$6:$A$335,0),MATCH(P$3,'Budget by Source'!$A$5:$I$5,0))-(ROUND(INDEX('Budget by Source'!$A$6:$I$335,MATCH('Payment by Source'!$A283,'Budget by Source'!$A$6:$A$335,0),MATCH(P$3,'Budget by Source'!$A$5:$I$5,0))/10,0)*10)</f>
        <v>0</v>
      </c>
      <c r="Q283" s="158">
        <f>INDEX('Budget by Source'!$A$6:$I$335,MATCH('Payment by Source'!$A283,'Budget by Source'!$A$6:$A$335,0),MATCH(Q$3,'Budget by Source'!$A$5:$I$5,0))-(ROUND(INDEX('Budget by Source'!$A$6:$I$335,MATCH('Payment by Source'!$A283,'Budget by Source'!$A$6:$A$335,0),MATCH(Q$3,'Budget by Source'!$A$5:$I$5,0))/10,0)*10)</f>
        <v>-3</v>
      </c>
      <c r="R283" s="158">
        <f>INDEX('Budget by Source'!$A$6:$I$335,MATCH('Payment by Source'!$A283,'Budget by Source'!$A$6:$A$335,0),MATCH(R$3,'Budget by Source'!$A$5:$I$5,0))-(ROUND(INDEX('Budget by Source'!$A$6:$I$335,MATCH('Payment by Source'!$A283,'Budget by Source'!$A$6:$A$335,0),MATCH(R$3,'Budget by Source'!$A$5:$I$5,0))/10,0)*10)</f>
        <v>4</v>
      </c>
      <c r="S283" s="158">
        <f>INDEX('Budget by Source'!$A$6:$I$335,MATCH('Payment by Source'!$A283,'Budget by Source'!$A$6:$A$335,0),MATCH(S$3,'Budget by Source'!$A$5:$I$5,0))-(ROUND(INDEX('Budget by Source'!$A$6:$I$335,MATCH('Payment by Source'!$A283,'Budget by Source'!$A$6:$A$335,0),MATCH(S$3,'Budget by Source'!$A$5:$I$5,0))/10,0)*10)</f>
        <v>0</v>
      </c>
      <c r="T283" s="158">
        <f>INDEX('Budget by Source'!$A$6:$I$335,MATCH('Payment by Source'!$A283,'Budget by Source'!$A$6:$A$335,0),MATCH(T$3,'Budget by Source'!$A$5:$I$5,0))-(ROUND(INDEX('Budget by Source'!$A$6:$I$335,MATCH('Payment by Source'!$A283,'Budget by Source'!$A$6:$A$335,0),MATCH(T$3,'Budget by Source'!$A$5:$I$5,0))/10,0)*10)</f>
        <v>-1</v>
      </c>
      <c r="U283" s="159">
        <f>INDEX('Budget by Source'!$A$6:$I$335,MATCH('Payment by Source'!$A283,'Budget by Source'!$A$6:$A$335,0),MATCH(U$3,'Budget by Source'!$A$5:$I$5,0))</f>
        <v>954405</v>
      </c>
      <c r="V283" s="156">
        <f t="shared" si="13"/>
        <v>95441</v>
      </c>
      <c r="W283" s="156">
        <f t="shared" si="14"/>
        <v>954410</v>
      </c>
    </row>
    <row r="284" spans="1:23" x14ac:dyDescent="0.2">
      <c r="A284" s="23" t="str">
        <f>Data!B280</f>
        <v>6175</v>
      </c>
      <c r="B284" s="21" t="str">
        <f>INDEX(Data[],MATCH($A284,Data[Dist],0),MATCH(B$5,Data[#Headers],0))</f>
        <v>Starmont</v>
      </c>
      <c r="C284" s="22">
        <f>IF(Notes!$B$2="June",ROUND('Budget by Source'!C284/10,0)+P284,ROUND('Budget by Source'!C284/10,0))</f>
        <v>12739</v>
      </c>
      <c r="D284" s="22">
        <f>IF(Notes!$B$2="June",ROUND('Budget by Source'!D284/10,0)+Q284,ROUND('Budget by Source'!D284/10,0))</f>
        <v>39905</v>
      </c>
      <c r="E284" s="22">
        <f>IF(Notes!$B$2="June",ROUND('Budget by Source'!E284/10,0)+R284,ROUND('Budget by Source'!E284/10,0))</f>
        <v>4903</v>
      </c>
      <c r="F284" s="22">
        <f>IF(Notes!$B$2="June",ROUND('Budget by Source'!F284/10,0)+S284,ROUND('Budget by Source'!F284/10,0))</f>
        <v>4422</v>
      </c>
      <c r="G284" s="22">
        <f>IF(Notes!$B$2="June",ROUND('Budget by Source'!G284/10,0)+T284,ROUND('Budget by Source'!G284/10,0))</f>
        <v>20475</v>
      </c>
      <c r="H284" s="22">
        <f t="shared" si="12"/>
        <v>285806</v>
      </c>
      <c r="I284" s="22">
        <f>INDEX(Data[],MATCH($A284,Data[Dist],0),MATCH(I$5,Data[#Headers],0))</f>
        <v>368250</v>
      </c>
      <c r="K284" s="70">
        <f>INDEX('Payment Total'!$A$7:$H$336,MATCH('Payment by Source'!$A284,'Payment Total'!$A$7:$A$336,0),6)-I284</f>
        <v>0</v>
      </c>
      <c r="P284" s="158">
        <f>INDEX('Budget by Source'!$A$6:$I$335,MATCH('Payment by Source'!$A284,'Budget by Source'!$A$6:$A$335,0),MATCH(P$3,'Budget by Source'!$A$5:$I$5,0))-(ROUND(INDEX('Budget by Source'!$A$6:$I$335,MATCH('Payment by Source'!$A284,'Budget by Source'!$A$6:$A$335,0),MATCH(P$3,'Budget by Source'!$A$5:$I$5,0))/10,0)*10)</f>
        <v>4</v>
      </c>
      <c r="Q284" s="158">
        <f>INDEX('Budget by Source'!$A$6:$I$335,MATCH('Payment by Source'!$A284,'Budget by Source'!$A$6:$A$335,0),MATCH(Q$3,'Budget by Source'!$A$5:$I$5,0))-(ROUND(INDEX('Budget by Source'!$A$6:$I$335,MATCH('Payment by Source'!$A284,'Budget by Source'!$A$6:$A$335,0),MATCH(Q$3,'Budget by Source'!$A$5:$I$5,0))/10,0)*10)</f>
        <v>-4</v>
      </c>
      <c r="R284" s="158">
        <f>INDEX('Budget by Source'!$A$6:$I$335,MATCH('Payment by Source'!$A284,'Budget by Source'!$A$6:$A$335,0),MATCH(R$3,'Budget by Source'!$A$5:$I$5,0))-(ROUND(INDEX('Budget by Source'!$A$6:$I$335,MATCH('Payment by Source'!$A284,'Budget by Source'!$A$6:$A$335,0),MATCH(R$3,'Budget by Source'!$A$5:$I$5,0))/10,0)*10)</f>
        <v>2</v>
      </c>
      <c r="S284" s="158">
        <f>INDEX('Budget by Source'!$A$6:$I$335,MATCH('Payment by Source'!$A284,'Budget by Source'!$A$6:$A$335,0),MATCH(S$3,'Budget by Source'!$A$5:$I$5,0))-(ROUND(INDEX('Budget by Source'!$A$6:$I$335,MATCH('Payment by Source'!$A284,'Budget by Source'!$A$6:$A$335,0),MATCH(S$3,'Budget by Source'!$A$5:$I$5,0))/10,0)*10)</f>
        <v>-4</v>
      </c>
      <c r="T284" s="158">
        <f>INDEX('Budget by Source'!$A$6:$I$335,MATCH('Payment by Source'!$A284,'Budget by Source'!$A$6:$A$335,0),MATCH(T$3,'Budget by Source'!$A$5:$I$5,0))-(ROUND(INDEX('Budget by Source'!$A$6:$I$335,MATCH('Payment by Source'!$A284,'Budget by Source'!$A$6:$A$335,0),MATCH(T$3,'Budget by Source'!$A$5:$I$5,0))/10,0)*10)</f>
        <v>-1</v>
      </c>
      <c r="U284" s="159">
        <f>INDEX('Budget by Source'!$A$6:$I$335,MATCH('Payment by Source'!$A284,'Budget by Source'!$A$6:$A$335,0),MATCH(U$3,'Budget by Source'!$A$5:$I$5,0))</f>
        <v>2868367</v>
      </c>
      <c r="V284" s="156">
        <f t="shared" si="13"/>
        <v>286837</v>
      </c>
      <c r="W284" s="156">
        <f t="shared" si="14"/>
        <v>2868370</v>
      </c>
    </row>
    <row r="285" spans="1:23" x14ac:dyDescent="0.2">
      <c r="A285" s="23" t="str">
        <f>Data!B281</f>
        <v>6219</v>
      </c>
      <c r="B285" s="21" t="str">
        <f>INDEX(Data[],MATCH($A285,Data[Dist],0),MATCH(B$5,Data[#Headers],0))</f>
        <v>Storm Lake</v>
      </c>
      <c r="C285" s="22">
        <f>IF(Notes!$B$2="June",ROUND('Budget by Source'!C285/10,0)+P285,ROUND('Budget by Source'!C285/10,0))</f>
        <v>43572</v>
      </c>
      <c r="D285" s="22">
        <f>IF(Notes!$B$2="June",ROUND('Budget by Source'!D285/10,0)+Q285,ROUND('Budget by Source'!D285/10,0))</f>
        <v>133170</v>
      </c>
      <c r="E285" s="22">
        <f>IF(Notes!$B$2="June",ROUND('Budget by Source'!E285/10,0)+R285,ROUND('Budget by Source'!E285/10,0))</f>
        <v>19677</v>
      </c>
      <c r="F285" s="22">
        <f>IF(Notes!$B$2="June",ROUND('Budget by Source'!F285/10,0)+S285,ROUND('Budget by Source'!F285/10,0))</f>
        <v>15358</v>
      </c>
      <c r="G285" s="22">
        <f>IF(Notes!$B$2="June",ROUND('Budget by Source'!G285/10,0)+T285,ROUND('Budget by Source'!G285/10,0))</f>
        <v>76762</v>
      </c>
      <c r="H285" s="22">
        <f t="shared" si="12"/>
        <v>1463702</v>
      </c>
      <c r="I285" s="22">
        <f>INDEX(Data[],MATCH($A285,Data[Dist],0),MATCH(I$5,Data[#Headers],0))</f>
        <v>1752241</v>
      </c>
      <c r="K285" s="70">
        <f>INDEX('Payment Total'!$A$7:$H$336,MATCH('Payment by Source'!$A285,'Payment Total'!$A$7:$A$336,0),6)-I285</f>
        <v>0</v>
      </c>
      <c r="P285" s="158">
        <f>INDEX('Budget by Source'!$A$6:$I$335,MATCH('Payment by Source'!$A285,'Budget by Source'!$A$6:$A$335,0),MATCH(P$3,'Budget by Source'!$A$5:$I$5,0))-(ROUND(INDEX('Budget by Source'!$A$6:$I$335,MATCH('Payment by Source'!$A285,'Budget by Source'!$A$6:$A$335,0),MATCH(P$3,'Budget by Source'!$A$5:$I$5,0))/10,0)*10)</f>
        <v>4</v>
      </c>
      <c r="Q285" s="158">
        <f>INDEX('Budget by Source'!$A$6:$I$335,MATCH('Payment by Source'!$A285,'Budget by Source'!$A$6:$A$335,0),MATCH(Q$3,'Budget by Source'!$A$5:$I$5,0))-(ROUND(INDEX('Budget by Source'!$A$6:$I$335,MATCH('Payment by Source'!$A285,'Budget by Source'!$A$6:$A$335,0),MATCH(Q$3,'Budget by Source'!$A$5:$I$5,0))/10,0)*10)</f>
        <v>0</v>
      </c>
      <c r="R285" s="158">
        <f>INDEX('Budget by Source'!$A$6:$I$335,MATCH('Payment by Source'!$A285,'Budget by Source'!$A$6:$A$335,0),MATCH(R$3,'Budget by Source'!$A$5:$I$5,0))-(ROUND(INDEX('Budget by Source'!$A$6:$I$335,MATCH('Payment by Source'!$A285,'Budget by Source'!$A$6:$A$335,0),MATCH(R$3,'Budget by Source'!$A$5:$I$5,0))/10,0)*10)</f>
        <v>-1</v>
      </c>
      <c r="S285" s="158">
        <f>INDEX('Budget by Source'!$A$6:$I$335,MATCH('Payment by Source'!$A285,'Budget by Source'!$A$6:$A$335,0),MATCH(S$3,'Budget by Source'!$A$5:$I$5,0))-(ROUND(INDEX('Budget by Source'!$A$6:$I$335,MATCH('Payment by Source'!$A285,'Budget by Source'!$A$6:$A$335,0),MATCH(S$3,'Budget by Source'!$A$5:$I$5,0))/10,0)*10)</f>
        <v>4</v>
      </c>
      <c r="T285" s="158">
        <f>INDEX('Budget by Source'!$A$6:$I$335,MATCH('Payment by Source'!$A285,'Budget by Source'!$A$6:$A$335,0),MATCH(T$3,'Budget by Source'!$A$5:$I$5,0))-(ROUND(INDEX('Budget by Source'!$A$6:$I$335,MATCH('Payment by Source'!$A285,'Budget by Source'!$A$6:$A$335,0),MATCH(T$3,'Budget by Source'!$A$5:$I$5,0))/10,0)*10)</f>
        <v>2</v>
      </c>
      <c r="U285" s="159">
        <f>INDEX('Budget by Source'!$A$6:$I$335,MATCH('Payment by Source'!$A285,'Budget by Source'!$A$6:$A$335,0),MATCH(U$3,'Budget by Source'!$A$5:$I$5,0))</f>
        <v>14676246</v>
      </c>
      <c r="V285" s="156">
        <f t="shared" si="13"/>
        <v>1467625</v>
      </c>
      <c r="W285" s="156">
        <f t="shared" si="14"/>
        <v>14676250</v>
      </c>
    </row>
    <row r="286" spans="1:23" x14ac:dyDescent="0.2">
      <c r="A286" s="23" t="str">
        <f>Data!B282</f>
        <v>6246</v>
      </c>
      <c r="B286" s="21" t="str">
        <f>INDEX(Data[],MATCH($A286,Data[Dist],0),MATCH(B$5,Data[#Headers],0))</f>
        <v>Stratford</v>
      </c>
      <c r="C286" s="22">
        <f>IF(Notes!$B$2="June",ROUND('Budget by Source'!C286/10,0)+P286,ROUND('Budget by Source'!C286/10,0))</f>
        <v>3019</v>
      </c>
      <c r="D286" s="22">
        <f>IF(Notes!$B$2="June",ROUND('Budget by Source'!D286/10,0)+Q286,ROUND('Budget by Source'!D286/10,0))</f>
        <v>8890</v>
      </c>
      <c r="E286" s="22">
        <f>IF(Notes!$B$2="June",ROUND('Budget by Source'!E286/10,0)+R286,ROUND('Budget by Source'!E286/10,0))</f>
        <v>987</v>
      </c>
      <c r="F286" s="22">
        <f>IF(Notes!$B$2="June",ROUND('Budget by Source'!F286/10,0)+S286,ROUND('Budget by Source'!F286/10,0))</f>
        <v>869</v>
      </c>
      <c r="G286" s="22">
        <f>IF(Notes!$B$2="June",ROUND('Budget by Source'!G286/10,0)+T286,ROUND('Budget by Source'!G286/10,0))</f>
        <v>5194</v>
      </c>
      <c r="H286" s="22">
        <f t="shared" si="12"/>
        <v>78010</v>
      </c>
      <c r="I286" s="22">
        <f>INDEX(Data[],MATCH($A286,Data[Dist],0),MATCH(I$5,Data[#Headers],0))</f>
        <v>96969</v>
      </c>
      <c r="K286" s="70">
        <f>INDEX('Payment Total'!$A$7:$H$336,MATCH('Payment by Source'!$A286,'Payment Total'!$A$7:$A$336,0),6)-I286</f>
        <v>0</v>
      </c>
      <c r="P286" s="158">
        <f>INDEX('Budget by Source'!$A$6:$I$335,MATCH('Payment by Source'!$A286,'Budget by Source'!$A$6:$A$335,0),MATCH(P$3,'Budget by Source'!$A$5:$I$5,0))-(ROUND(INDEX('Budget by Source'!$A$6:$I$335,MATCH('Payment by Source'!$A286,'Budget by Source'!$A$6:$A$335,0),MATCH(P$3,'Budget by Source'!$A$5:$I$5,0))/10,0)*10)</f>
        <v>3</v>
      </c>
      <c r="Q286" s="158">
        <f>INDEX('Budget by Source'!$A$6:$I$335,MATCH('Payment by Source'!$A286,'Budget by Source'!$A$6:$A$335,0),MATCH(Q$3,'Budget by Source'!$A$5:$I$5,0))-(ROUND(INDEX('Budget by Source'!$A$6:$I$335,MATCH('Payment by Source'!$A286,'Budget by Source'!$A$6:$A$335,0),MATCH(Q$3,'Budget by Source'!$A$5:$I$5,0))/10,0)*10)</f>
        <v>2</v>
      </c>
      <c r="R286" s="158">
        <f>INDEX('Budget by Source'!$A$6:$I$335,MATCH('Payment by Source'!$A286,'Budget by Source'!$A$6:$A$335,0),MATCH(R$3,'Budget by Source'!$A$5:$I$5,0))-(ROUND(INDEX('Budget by Source'!$A$6:$I$335,MATCH('Payment by Source'!$A286,'Budget by Source'!$A$6:$A$335,0),MATCH(R$3,'Budget by Source'!$A$5:$I$5,0))/10,0)*10)</f>
        <v>0</v>
      </c>
      <c r="S286" s="158">
        <f>INDEX('Budget by Source'!$A$6:$I$335,MATCH('Payment by Source'!$A286,'Budget by Source'!$A$6:$A$335,0),MATCH(S$3,'Budget by Source'!$A$5:$I$5,0))-(ROUND(INDEX('Budget by Source'!$A$6:$I$335,MATCH('Payment by Source'!$A286,'Budget by Source'!$A$6:$A$335,0),MATCH(S$3,'Budget by Source'!$A$5:$I$5,0))/10,0)*10)</f>
        <v>4</v>
      </c>
      <c r="T286" s="158">
        <f>INDEX('Budget by Source'!$A$6:$I$335,MATCH('Payment by Source'!$A286,'Budget by Source'!$A$6:$A$335,0),MATCH(T$3,'Budget by Source'!$A$5:$I$5,0))-(ROUND(INDEX('Budget by Source'!$A$6:$I$335,MATCH('Payment by Source'!$A286,'Budget by Source'!$A$6:$A$335,0),MATCH(T$3,'Budget by Source'!$A$5:$I$5,0))/10,0)*10)</f>
        <v>-1</v>
      </c>
      <c r="U286" s="159">
        <f>INDEX('Budget by Source'!$A$6:$I$335,MATCH('Payment by Source'!$A286,'Budget by Source'!$A$6:$A$335,0),MATCH(U$3,'Budget by Source'!$A$5:$I$5,0))</f>
        <v>782702</v>
      </c>
      <c r="V286" s="156">
        <f t="shared" si="13"/>
        <v>78270</v>
      </c>
      <c r="W286" s="156">
        <f t="shared" si="14"/>
        <v>782700</v>
      </c>
    </row>
    <row r="287" spans="1:23" x14ac:dyDescent="0.2">
      <c r="A287" s="23" t="str">
        <f>Data!B283</f>
        <v>6264</v>
      </c>
      <c r="B287" s="21" t="str">
        <f>INDEX(Data[],MATCH($A287,Data[Dist],0),MATCH(B$5,Data[#Headers],0))</f>
        <v>West Central Valley</v>
      </c>
      <c r="C287" s="22">
        <f>IF(Notes!$B$2="June",ROUND('Budget by Source'!C287/10,0)+P287,ROUND('Budget by Source'!C287/10,0))</f>
        <v>18094</v>
      </c>
      <c r="D287" s="22">
        <f>IF(Notes!$B$2="June",ROUND('Budget by Source'!D287/10,0)+Q287,ROUND('Budget by Source'!D287/10,0))</f>
        <v>54265</v>
      </c>
      <c r="E287" s="22">
        <f>IF(Notes!$B$2="June",ROUND('Budget by Source'!E287/10,0)+R287,ROUND('Budget by Source'!E287/10,0))</f>
        <v>5865</v>
      </c>
      <c r="F287" s="22">
        <f>IF(Notes!$B$2="June",ROUND('Budget by Source'!F287/10,0)+S287,ROUND('Budget by Source'!F287/10,0))</f>
        <v>5312</v>
      </c>
      <c r="G287" s="22">
        <f>IF(Notes!$B$2="June",ROUND('Budget by Source'!G287/10,0)+T287,ROUND('Budget by Source'!G287/10,0))</f>
        <v>29789</v>
      </c>
      <c r="H287" s="22">
        <f t="shared" si="12"/>
        <v>393515</v>
      </c>
      <c r="I287" s="22">
        <f>INDEX(Data[],MATCH($A287,Data[Dist],0),MATCH(I$5,Data[#Headers],0))</f>
        <v>506840</v>
      </c>
      <c r="K287" s="70">
        <f>INDEX('Payment Total'!$A$7:$H$336,MATCH('Payment by Source'!$A287,'Payment Total'!$A$7:$A$336,0),6)-I287</f>
        <v>0</v>
      </c>
      <c r="P287" s="158">
        <f>INDEX('Budget by Source'!$A$6:$I$335,MATCH('Payment by Source'!$A287,'Budget by Source'!$A$6:$A$335,0),MATCH(P$3,'Budget by Source'!$A$5:$I$5,0))-(ROUND(INDEX('Budget by Source'!$A$6:$I$335,MATCH('Payment by Source'!$A287,'Budget by Source'!$A$6:$A$335,0),MATCH(P$3,'Budget by Source'!$A$5:$I$5,0))/10,0)*10)</f>
        <v>-4</v>
      </c>
      <c r="Q287" s="158">
        <f>INDEX('Budget by Source'!$A$6:$I$335,MATCH('Payment by Source'!$A287,'Budget by Source'!$A$6:$A$335,0),MATCH(Q$3,'Budget by Source'!$A$5:$I$5,0))-(ROUND(INDEX('Budget by Source'!$A$6:$I$335,MATCH('Payment by Source'!$A287,'Budget by Source'!$A$6:$A$335,0),MATCH(Q$3,'Budget by Source'!$A$5:$I$5,0))/10,0)*10)</f>
        <v>-2</v>
      </c>
      <c r="R287" s="158">
        <f>INDEX('Budget by Source'!$A$6:$I$335,MATCH('Payment by Source'!$A287,'Budget by Source'!$A$6:$A$335,0),MATCH(R$3,'Budget by Source'!$A$5:$I$5,0))-(ROUND(INDEX('Budget by Source'!$A$6:$I$335,MATCH('Payment by Source'!$A287,'Budget by Source'!$A$6:$A$335,0),MATCH(R$3,'Budget by Source'!$A$5:$I$5,0))/10,0)*10)</f>
        <v>-4</v>
      </c>
      <c r="S287" s="158">
        <f>INDEX('Budget by Source'!$A$6:$I$335,MATCH('Payment by Source'!$A287,'Budget by Source'!$A$6:$A$335,0),MATCH(S$3,'Budget by Source'!$A$5:$I$5,0))-(ROUND(INDEX('Budget by Source'!$A$6:$I$335,MATCH('Payment by Source'!$A287,'Budget by Source'!$A$6:$A$335,0),MATCH(S$3,'Budget by Source'!$A$5:$I$5,0))/10,0)*10)</f>
        <v>2</v>
      </c>
      <c r="T287" s="158">
        <f>INDEX('Budget by Source'!$A$6:$I$335,MATCH('Payment by Source'!$A287,'Budget by Source'!$A$6:$A$335,0),MATCH(T$3,'Budget by Source'!$A$5:$I$5,0))-(ROUND(INDEX('Budget by Source'!$A$6:$I$335,MATCH('Payment by Source'!$A287,'Budget by Source'!$A$6:$A$335,0),MATCH(T$3,'Budget by Source'!$A$5:$I$5,0))/10,0)*10)</f>
        <v>-1</v>
      </c>
      <c r="U287" s="159">
        <f>INDEX('Budget by Source'!$A$6:$I$335,MATCH('Payment by Source'!$A287,'Budget by Source'!$A$6:$A$335,0),MATCH(U$3,'Budget by Source'!$A$5:$I$5,0))</f>
        <v>3950265</v>
      </c>
      <c r="V287" s="156">
        <f t="shared" si="13"/>
        <v>395027</v>
      </c>
      <c r="W287" s="156">
        <f t="shared" si="14"/>
        <v>3950270</v>
      </c>
    </row>
    <row r="288" spans="1:23" x14ac:dyDescent="0.2">
      <c r="A288" s="23" t="str">
        <f>Data!B284</f>
        <v>6273</v>
      </c>
      <c r="B288" s="21" t="str">
        <f>INDEX(Data[],MATCH($A288,Data[Dist],0),MATCH(B$5,Data[#Headers],0))</f>
        <v>Sumner-Fredericksburg</v>
      </c>
      <c r="C288" s="22">
        <f>IF(Notes!$B$2="June",ROUND('Budget by Source'!C288/10,0)+P288,ROUND('Budget by Source'!C288/10,0))</f>
        <v>13739</v>
      </c>
      <c r="D288" s="22">
        <f>IF(Notes!$B$2="June",ROUND('Budget by Source'!D288/10,0)+Q288,ROUND('Budget by Source'!D288/10,0))</f>
        <v>48608</v>
      </c>
      <c r="E288" s="22">
        <f>IF(Notes!$B$2="June",ROUND('Budget by Source'!E288/10,0)+R288,ROUND('Budget by Source'!E288/10,0))</f>
        <v>4925</v>
      </c>
      <c r="F288" s="22">
        <f>IF(Notes!$B$2="June",ROUND('Budget by Source'!F288/10,0)+S288,ROUND('Budget by Source'!F288/10,0))</f>
        <v>5343</v>
      </c>
      <c r="G288" s="22">
        <f>IF(Notes!$B$2="June",ROUND('Budget by Source'!G288/10,0)+T288,ROUND('Budget by Source'!G288/10,0))</f>
        <v>26557</v>
      </c>
      <c r="H288" s="22">
        <f t="shared" si="12"/>
        <v>358662</v>
      </c>
      <c r="I288" s="22">
        <f>INDEX(Data[],MATCH($A288,Data[Dist],0),MATCH(I$5,Data[#Headers],0))</f>
        <v>457834</v>
      </c>
      <c r="K288" s="70">
        <f>INDEX('Payment Total'!$A$7:$H$336,MATCH('Payment by Source'!$A288,'Payment Total'!$A$7:$A$336,0),6)-I288</f>
        <v>0</v>
      </c>
      <c r="P288" s="158">
        <f>INDEX('Budget by Source'!$A$6:$I$335,MATCH('Payment by Source'!$A288,'Budget by Source'!$A$6:$A$335,0),MATCH(P$3,'Budget by Source'!$A$5:$I$5,0))-(ROUND(INDEX('Budget by Source'!$A$6:$I$335,MATCH('Payment by Source'!$A288,'Budget by Source'!$A$6:$A$335,0),MATCH(P$3,'Budget by Source'!$A$5:$I$5,0))/10,0)*10)</f>
        <v>-2</v>
      </c>
      <c r="Q288" s="158">
        <f>INDEX('Budget by Source'!$A$6:$I$335,MATCH('Payment by Source'!$A288,'Budget by Source'!$A$6:$A$335,0),MATCH(Q$3,'Budget by Source'!$A$5:$I$5,0))-(ROUND(INDEX('Budget by Source'!$A$6:$I$335,MATCH('Payment by Source'!$A288,'Budget by Source'!$A$6:$A$335,0),MATCH(Q$3,'Budget by Source'!$A$5:$I$5,0))/10,0)*10)</f>
        <v>0</v>
      </c>
      <c r="R288" s="158">
        <f>INDEX('Budget by Source'!$A$6:$I$335,MATCH('Payment by Source'!$A288,'Budget by Source'!$A$6:$A$335,0),MATCH(R$3,'Budget by Source'!$A$5:$I$5,0))-(ROUND(INDEX('Budget by Source'!$A$6:$I$335,MATCH('Payment by Source'!$A288,'Budget by Source'!$A$6:$A$335,0),MATCH(R$3,'Budget by Source'!$A$5:$I$5,0))/10,0)*10)</f>
        <v>-1</v>
      </c>
      <c r="S288" s="158">
        <f>INDEX('Budget by Source'!$A$6:$I$335,MATCH('Payment by Source'!$A288,'Budget by Source'!$A$6:$A$335,0),MATCH(S$3,'Budget by Source'!$A$5:$I$5,0))-(ROUND(INDEX('Budget by Source'!$A$6:$I$335,MATCH('Payment by Source'!$A288,'Budget by Source'!$A$6:$A$335,0),MATCH(S$3,'Budget by Source'!$A$5:$I$5,0))/10,0)*10)</f>
        <v>-2</v>
      </c>
      <c r="T288" s="158">
        <f>INDEX('Budget by Source'!$A$6:$I$335,MATCH('Payment by Source'!$A288,'Budget by Source'!$A$6:$A$335,0),MATCH(T$3,'Budget by Source'!$A$5:$I$5,0))-(ROUND(INDEX('Budget by Source'!$A$6:$I$335,MATCH('Payment by Source'!$A288,'Budget by Source'!$A$6:$A$335,0),MATCH(T$3,'Budget by Source'!$A$5:$I$5,0))/10,0)*10)</f>
        <v>4</v>
      </c>
      <c r="U288" s="159">
        <f>INDEX('Budget by Source'!$A$6:$I$335,MATCH('Payment by Source'!$A288,'Budget by Source'!$A$6:$A$335,0),MATCH(U$3,'Budget by Source'!$A$5:$I$5,0))</f>
        <v>3600109</v>
      </c>
      <c r="V288" s="156">
        <f t="shared" si="13"/>
        <v>360011</v>
      </c>
      <c r="W288" s="156">
        <f t="shared" si="14"/>
        <v>3600110</v>
      </c>
    </row>
    <row r="289" spans="1:23" x14ac:dyDescent="0.2">
      <c r="A289" s="23" t="str">
        <f>Data!B285</f>
        <v>6408</v>
      </c>
      <c r="B289" s="21" t="str">
        <f>INDEX(Data[],MATCH($A289,Data[Dist],0),MATCH(B$5,Data[#Headers],0))</f>
        <v>Tipton</v>
      </c>
      <c r="C289" s="22">
        <f>IF(Notes!$B$2="June",ROUND('Budget by Source'!C289/10,0)+P289,ROUND('Budget by Source'!C289/10,0))</f>
        <v>16085</v>
      </c>
      <c r="D289" s="22">
        <f>IF(Notes!$B$2="June",ROUND('Budget by Source'!D289/10,0)+Q289,ROUND('Budget by Source'!D289/10,0))</f>
        <v>50702</v>
      </c>
      <c r="E289" s="22">
        <f>IF(Notes!$B$2="June",ROUND('Budget by Source'!E289/10,0)+R289,ROUND('Budget by Source'!E289/10,0))</f>
        <v>5935</v>
      </c>
      <c r="F289" s="22">
        <f>IF(Notes!$B$2="June",ROUND('Budget by Source'!F289/10,0)+S289,ROUND('Budget by Source'!F289/10,0))</f>
        <v>5391</v>
      </c>
      <c r="G289" s="22">
        <f>IF(Notes!$B$2="June",ROUND('Budget by Source'!G289/10,0)+T289,ROUND('Budget by Source'!G289/10,0))</f>
        <v>29067</v>
      </c>
      <c r="H289" s="22">
        <f t="shared" si="12"/>
        <v>402364</v>
      </c>
      <c r="I289" s="22">
        <f>INDEX(Data[],MATCH($A289,Data[Dist],0),MATCH(I$5,Data[#Headers],0))</f>
        <v>509544</v>
      </c>
      <c r="K289" s="70">
        <f>INDEX('Payment Total'!$A$7:$H$336,MATCH('Payment by Source'!$A289,'Payment Total'!$A$7:$A$336,0),6)-I289</f>
        <v>0</v>
      </c>
      <c r="P289" s="158">
        <f>INDEX('Budget by Source'!$A$6:$I$335,MATCH('Payment by Source'!$A289,'Budget by Source'!$A$6:$A$335,0),MATCH(P$3,'Budget by Source'!$A$5:$I$5,0))-(ROUND(INDEX('Budget by Source'!$A$6:$I$335,MATCH('Payment by Source'!$A289,'Budget by Source'!$A$6:$A$335,0),MATCH(P$3,'Budget by Source'!$A$5:$I$5,0))/10,0)*10)</f>
        <v>-2</v>
      </c>
      <c r="Q289" s="158">
        <f>INDEX('Budget by Source'!$A$6:$I$335,MATCH('Payment by Source'!$A289,'Budget by Source'!$A$6:$A$335,0),MATCH(Q$3,'Budget by Source'!$A$5:$I$5,0))-(ROUND(INDEX('Budget by Source'!$A$6:$I$335,MATCH('Payment by Source'!$A289,'Budget by Source'!$A$6:$A$335,0),MATCH(Q$3,'Budget by Source'!$A$5:$I$5,0))/10,0)*10)</f>
        <v>-2</v>
      </c>
      <c r="R289" s="158">
        <f>INDEX('Budget by Source'!$A$6:$I$335,MATCH('Payment by Source'!$A289,'Budget by Source'!$A$6:$A$335,0),MATCH(R$3,'Budget by Source'!$A$5:$I$5,0))-(ROUND(INDEX('Budget by Source'!$A$6:$I$335,MATCH('Payment by Source'!$A289,'Budget by Source'!$A$6:$A$335,0),MATCH(R$3,'Budget by Source'!$A$5:$I$5,0))/10,0)*10)</f>
        <v>-4</v>
      </c>
      <c r="S289" s="158">
        <f>INDEX('Budget by Source'!$A$6:$I$335,MATCH('Payment by Source'!$A289,'Budget by Source'!$A$6:$A$335,0),MATCH(S$3,'Budget by Source'!$A$5:$I$5,0))-(ROUND(INDEX('Budget by Source'!$A$6:$I$335,MATCH('Payment by Source'!$A289,'Budget by Source'!$A$6:$A$335,0),MATCH(S$3,'Budget by Source'!$A$5:$I$5,0))/10,0)*10)</f>
        <v>1</v>
      </c>
      <c r="T289" s="158">
        <f>INDEX('Budget by Source'!$A$6:$I$335,MATCH('Payment by Source'!$A289,'Budget by Source'!$A$6:$A$335,0),MATCH(T$3,'Budget by Source'!$A$5:$I$5,0))-(ROUND(INDEX('Budget by Source'!$A$6:$I$335,MATCH('Payment by Source'!$A289,'Budget by Source'!$A$6:$A$335,0),MATCH(T$3,'Budget by Source'!$A$5:$I$5,0))/10,0)*10)</f>
        <v>2</v>
      </c>
      <c r="U289" s="159">
        <f>INDEX('Budget by Source'!$A$6:$I$335,MATCH('Payment by Source'!$A289,'Budget by Source'!$A$6:$A$335,0),MATCH(U$3,'Budget by Source'!$A$5:$I$5,0))</f>
        <v>4038312</v>
      </c>
      <c r="V289" s="156">
        <f t="shared" si="13"/>
        <v>403831</v>
      </c>
      <c r="W289" s="156">
        <f t="shared" si="14"/>
        <v>4038310</v>
      </c>
    </row>
    <row r="290" spans="1:23" x14ac:dyDescent="0.2">
      <c r="A290" s="23" t="str">
        <f>Data!B286</f>
        <v>6453</v>
      </c>
      <c r="B290" s="21" t="str">
        <f>INDEX(Data[],MATCH($A290,Data[Dist],0),MATCH(B$5,Data[#Headers],0))</f>
        <v>Treynor</v>
      </c>
      <c r="C290" s="22">
        <f>IF(Notes!$B$2="June",ROUND('Budget by Source'!C290/10,0)+P290,ROUND('Budget by Source'!C290/10,0))</f>
        <v>0</v>
      </c>
      <c r="D290" s="22">
        <f>IF(Notes!$B$2="June",ROUND('Budget by Source'!D290/10,0)+Q290,ROUND('Budget by Source'!D290/10,0))</f>
        <v>35717</v>
      </c>
      <c r="E290" s="22">
        <f>IF(Notes!$B$2="June",ROUND('Budget by Source'!E290/10,0)+R290,ROUND('Budget by Source'!E290/10,0))</f>
        <v>3919</v>
      </c>
      <c r="F290" s="22">
        <f>IF(Notes!$B$2="June",ROUND('Budget by Source'!F290/10,0)+S290,ROUND('Budget by Source'!F290/10,0))</f>
        <v>3749</v>
      </c>
      <c r="G290" s="22">
        <f>IF(Notes!$B$2="June",ROUND('Budget by Source'!G290/10,0)+T290,ROUND('Budget by Source'!G290/10,0))</f>
        <v>19861</v>
      </c>
      <c r="H290" s="22">
        <f t="shared" si="12"/>
        <v>246266</v>
      </c>
      <c r="I290" s="22">
        <f>INDEX(Data[],MATCH($A290,Data[Dist],0),MATCH(I$5,Data[#Headers],0))</f>
        <v>309512</v>
      </c>
      <c r="K290" s="70">
        <f>INDEX('Payment Total'!$A$7:$H$336,MATCH('Payment by Source'!$A290,'Payment Total'!$A$7:$A$336,0),6)-I290</f>
        <v>0</v>
      </c>
      <c r="P290" s="158">
        <f>INDEX('Budget by Source'!$A$6:$I$335,MATCH('Payment by Source'!$A290,'Budget by Source'!$A$6:$A$335,0),MATCH(P$3,'Budget by Source'!$A$5:$I$5,0))-(ROUND(INDEX('Budget by Source'!$A$6:$I$335,MATCH('Payment by Source'!$A290,'Budget by Source'!$A$6:$A$335,0),MATCH(P$3,'Budget by Source'!$A$5:$I$5,0))/10,0)*10)</f>
        <v>0</v>
      </c>
      <c r="Q290" s="158">
        <f>INDEX('Budget by Source'!$A$6:$I$335,MATCH('Payment by Source'!$A290,'Budget by Source'!$A$6:$A$335,0),MATCH(Q$3,'Budget by Source'!$A$5:$I$5,0))-(ROUND(INDEX('Budget by Source'!$A$6:$I$335,MATCH('Payment by Source'!$A290,'Budget by Source'!$A$6:$A$335,0),MATCH(Q$3,'Budget by Source'!$A$5:$I$5,0))/10,0)*10)</f>
        <v>-2</v>
      </c>
      <c r="R290" s="158">
        <f>INDEX('Budget by Source'!$A$6:$I$335,MATCH('Payment by Source'!$A290,'Budget by Source'!$A$6:$A$335,0),MATCH(R$3,'Budget by Source'!$A$5:$I$5,0))-(ROUND(INDEX('Budget by Source'!$A$6:$I$335,MATCH('Payment by Source'!$A290,'Budget by Source'!$A$6:$A$335,0),MATCH(R$3,'Budget by Source'!$A$5:$I$5,0))/10,0)*10)</f>
        <v>-5</v>
      </c>
      <c r="S290" s="158">
        <f>INDEX('Budget by Source'!$A$6:$I$335,MATCH('Payment by Source'!$A290,'Budget by Source'!$A$6:$A$335,0),MATCH(S$3,'Budget by Source'!$A$5:$I$5,0))-(ROUND(INDEX('Budget by Source'!$A$6:$I$335,MATCH('Payment by Source'!$A290,'Budget by Source'!$A$6:$A$335,0),MATCH(S$3,'Budget by Source'!$A$5:$I$5,0))/10,0)*10)</f>
        <v>-2</v>
      </c>
      <c r="T290" s="158">
        <f>INDEX('Budget by Source'!$A$6:$I$335,MATCH('Payment by Source'!$A290,'Budget by Source'!$A$6:$A$335,0),MATCH(T$3,'Budget by Source'!$A$5:$I$5,0))-(ROUND(INDEX('Budget by Source'!$A$6:$I$335,MATCH('Payment by Source'!$A290,'Budget by Source'!$A$6:$A$335,0),MATCH(T$3,'Budget by Source'!$A$5:$I$5,0))/10,0)*10)</f>
        <v>0</v>
      </c>
      <c r="U290" s="159">
        <f>INDEX('Budget by Source'!$A$6:$I$335,MATCH('Payment by Source'!$A290,'Budget by Source'!$A$6:$A$335,0),MATCH(U$3,'Budget by Source'!$A$5:$I$5,0))</f>
        <v>2472720</v>
      </c>
      <c r="V290" s="156">
        <f t="shared" si="13"/>
        <v>247272</v>
      </c>
      <c r="W290" s="156">
        <f t="shared" si="14"/>
        <v>2472720</v>
      </c>
    </row>
    <row r="291" spans="1:23" x14ac:dyDescent="0.2">
      <c r="A291" s="23" t="str">
        <f>Data!B287</f>
        <v>6460</v>
      </c>
      <c r="B291" s="21" t="str">
        <f>INDEX(Data[],MATCH($A291,Data[Dist],0),MATCH(B$5,Data[#Headers],0))</f>
        <v>Tri-Center</v>
      </c>
      <c r="C291" s="22">
        <f>IF(Notes!$B$2="June",ROUND('Budget by Source'!C291/10,0)+P291,ROUND('Budget by Source'!C291/10,0))</f>
        <v>10720</v>
      </c>
      <c r="D291" s="22">
        <f>IF(Notes!$B$2="June",ROUND('Budget by Source'!D291/10,0)+Q291,ROUND('Budget by Source'!D291/10,0))</f>
        <v>37698</v>
      </c>
      <c r="E291" s="22">
        <f>IF(Notes!$B$2="June",ROUND('Budget by Source'!E291/10,0)+R291,ROUND('Budget by Source'!E291/10,0))</f>
        <v>4123</v>
      </c>
      <c r="F291" s="22">
        <f>IF(Notes!$B$2="June",ROUND('Budget by Source'!F291/10,0)+S291,ROUND('Budget by Source'!F291/10,0))</f>
        <v>4217</v>
      </c>
      <c r="G291" s="22">
        <f>IF(Notes!$B$2="June",ROUND('Budget by Source'!G291/10,0)+T291,ROUND('Budget by Source'!G291/10,0))</f>
        <v>21058</v>
      </c>
      <c r="H291" s="22">
        <f t="shared" si="12"/>
        <v>289463</v>
      </c>
      <c r="I291" s="22">
        <f>INDEX(Data[],MATCH($A291,Data[Dist],0),MATCH(I$5,Data[#Headers],0))</f>
        <v>367279</v>
      </c>
      <c r="K291" s="70">
        <f>INDEX('Payment Total'!$A$7:$H$336,MATCH('Payment by Source'!$A291,'Payment Total'!$A$7:$A$336,0),6)-I291</f>
        <v>0</v>
      </c>
      <c r="P291" s="158">
        <f>INDEX('Budget by Source'!$A$6:$I$335,MATCH('Payment by Source'!$A291,'Budget by Source'!$A$6:$A$335,0),MATCH(P$3,'Budget by Source'!$A$5:$I$5,0))-(ROUND(INDEX('Budget by Source'!$A$6:$I$335,MATCH('Payment by Source'!$A291,'Budget by Source'!$A$6:$A$335,0),MATCH(P$3,'Budget by Source'!$A$5:$I$5,0))/10,0)*10)</f>
        <v>-5</v>
      </c>
      <c r="Q291" s="158">
        <f>INDEX('Budget by Source'!$A$6:$I$335,MATCH('Payment by Source'!$A291,'Budget by Source'!$A$6:$A$335,0),MATCH(Q$3,'Budget by Source'!$A$5:$I$5,0))-(ROUND(INDEX('Budget by Source'!$A$6:$I$335,MATCH('Payment by Source'!$A291,'Budget by Source'!$A$6:$A$335,0),MATCH(Q$3,'Budget by Source'!$A$5:$I$5,0))/10,0)*10)</f>
        <v>1</v>
      </c>
      <c r="R291" s="158">
        <f>INDEX('Budget by Source'!$A$6:$I$335,MATCH('Payment by Source'!$A291,'Budget by Source'!$A$6:$A$335,0),MATCH(R$3,'Budget by Source'!$A$5:$I$5,0))-(ROUND(INDEX('Budget by Source'!$A$6:$I$335,MATCH('Payment by Source'!$A291,'Budget by Source'!$A$6:$A$335,0),MATCH(R$3,'Budget by Source'!$A$5:$I$5,0))/10,0)*10)</f>
        <v>3</v>
      </c>
      <c r="S291" s="158">
        <f>INDEX('Budget by Source'!$A$6:$I$335,MATCH('Payment by Source'!$A291,'Budget by Source'!$A$6:$A$335,0),MATCH(S$3,'Budget by Source'!$A$5:$I$5,0))-(ROUND(INDEX('Budget by Source'!$A$6:$I$335,MATCH('Payment by Source'!$A291,'Budget by Source'!$A$6:$A$335,0),MATCH(S$3,'Budget by Source'!$A$5:$I$5,0))/10,0)*10)</f>
        <v>-5</v>
      </c>
      <c r="T291" s="158">
        <f>INDEX('Budget by Source'!$A$6:$I$335,MATCH('Payment by Source'!$A291,'Budget by Source'!$A$6:$A$335,0),MATCH(T$3,'Budget by Source'!$A$5:$I$5,0))-(ROUND(INDEX('Budget by Source'!$A$6:$I$335,MATCH('Payment by Source'!$A291,'Budget by Source'!$A$6:$A$335,0),MATCH(T$3,'Budget by Source'!$A$5:$I$5,0))/10,0)*10)</f>
        <v>-5</v>
      </c>
      <c r="U291" s="159">
        <f>INDEX('Budget by Source'!$A$6:$I$335,MATCH('Payment by Source'!$A291,'Budget by Source'!$A$6:$A$335,0),MATCH(U$3,'Budget by Source'!$A$5:$I$5,0))</f>
        <v>2905289</v>
      </c>
      <c r="V291" s="156">
        <f t="shared" si="13"/>
        <v>290529</v>
      </c>
      <c r="W291" s="156">
        <f t="shared" si="14"/>
        <v>2905290</v>
      </c>
    </row>
    <row r="292" spans="1:23" x14ac:dyDescent="0.2">
      <c r="A292" s="23" t="str">
        <f>Data!B288</f>
        <v>6462</v>
      </c>
      <c r="B292" s="21" t="str">
        <f>INDEX(Data[],MATCH($A292,Data[Dist],0),MATCH(B$5,Data[#Headers],0))</f>
        <v>Tri-County</v>
      </c>
      <c r="C292" s="22">
        <f>IF(Notes!$B$2="June",ROUND('Budget by Source'!C292/10,0)+P292,ROUND('Budget by Source'!C292/10,0))</f>
        <v>2009</v>
      </c>
      <c r="D292" s="22">
        <f>IF(Notes!$B$2="June",ROUND('Budget by Source'!D292/10,0)+Q292,ROUND('Budget by Source'!D292/10,0))</f>
        <v>18834</v>
      </c>
      <c r="E292" s="22">
        <f>IF(Notes!$B$2="June",ROUND('Budget by Source'!E292/10,0)+R292,ROUND('Budget by Source'!E292/10,0))</f>
        <v>2205</v>
      </c>
      <c r="F292" s="22">
        <f>IF(Notes!$B$2="June",ROUND('Budget by Source'!F292/10,0)+S292,ROUND('Budget by Source'!F292/10,0))</f>
        <v>1724</v>
      </c>
      <c r="G292" s="22">
        <f>IF(Notes!$B$2="June",ROUND('Budget by Source'!G292/10,0)+T292,ROUND('Budget by Source'!G292/10,0))</f>
        <v>9144</v>
      </c>
      <c r="H292" s="22">
        <f t="shared" si="12"/>
        <v>129674</v>
      </c>
      <c r="I292" s="22">
        <f>INDEX(Data[],MATCH($A292,Data[Dist],0),MATCH(I$5,Data[#Headers],0))</f>
        <v>163590</v>
      </c>
      <c r="K292" s="70">
        <f>INDEX('Payment Total'!$A$7:$H$336,MATCH('Payment by Source'!$A292,'Payment Total'!$A$7:$A$336,0),6)-I292</f>
        <v>0</v>
      </c>
      <c r="P292" s="158">
        <f>INDEX('Budget by Source'!$A$6:$I$335,MATCH('Payment by Source'!$A292,'Budget by Source'!$A$6:$A$335,0),MATCH(P$3,'Budget by Source'!$A$5:$I$5,0))-(ROUND(INDEX('Budget by Source'!$A$6:$I$335,MATCH('Payment by Source'!$A292,'Budget by Source'!$A$6:$A$335,0),MATCH(P$3,'Budget by Source'!$A$5:$I$5,0))/10,0)*10)</f>
        <v>-2</v>
      </c>
      <c r="Q292" s="158">
        <f>INDEX('Budget by Source'!$A$6:$I$335,MATCH('Payment by Source'!$A292,'Budget by Source'!$A$6:$A$335,0),MATCH(Q$3,'Budget by Source'!$A$5:$I$5,0))-(ROUND(INDEX('Budget by Source'!$A$6:$I$335,MATCH('Payment by Source'!$A292,'Budget by Source'!$A$6:$A$335,0),MATCH(Q$3,'Budget by Source'!$A$5:$I$5,0))/10,0)*10)</f>
        <v>-4</v>
      </c>
      <c r="R292" s="158">
        <f>INDEX('Budget by Source'!$A$6:$I$335,MATCH('Payment by Source'!$A292,'Budget by Source'!$A$6:$A$335,0),MATCH(R$3,'Budget by Source'!$A$5:$I$5,0))-(ROUND(INDEX('Budget by Source'!$A$6:$I$335,MATCH('Payment by Source'!$A292,'Budget by Source'!$A$6:$A$335,0),MATCH(R$3,'Budget by Source'!$A$5:$I$5,0))/10,0)*10)</f>
        <v>-3</v>
      </c>
      <c r="S292" s="158">
        <f>INDEX('Budget by Source'!$A$6:$I$335,MATCH('Payment by Source'!$A292,'Budget by Source'!$A$6:$A$335,0),MATCH(S$3,'Budget by Source'!$A$5:$I$5,0))-(ROUND(INDEX('Budget by Source'!$A$6:$I$335,MATCH('Payment by Source'!$A292,'Budget by Source'!$A$6:$A$335,0),MATCH(S$3,'Budget by Source'!$A$5:$I$5,0))/10,0)*10)</f>
        <v>4</v>
      </c>
      <c r="T292" s="158">
        <f>INDEX('Budget by Source'!$A$6:$I$335,MATCH('Payment by Source'!$A292,'Budget by Source'!$A$6:$A$335,0),MATCH(T$3,'Budget by Source'!$A$5:$I$5,0))-(ROUND(INDEX('Budget by Source'!$A$6:$I$335,MATCH('Payment by Source'!$A292,'Budget by Source'!$A$6:$A$335,0),MATCH(T$3,'Budget by Source'!$A$5:$I$5,0))/10,0)*10)</f>
        <v>-5</v>
      </c>
      <c r="U292" s="159">
        <f>INDEX('Budget by Source'!$A$6:$I$335,MATCH('Payment by Source'!$A292,'Budget by Source'!$A$6:$A$335,0),MATCH(U$3,'Budget by Source'!$A$5:$I$5,0))</f>
        <v>1301247</v>
      </c>
      <c r="V292" s="156">
        <f t="shared" si="13"/>
        <v>130125</v>
      </c>
      <c r="W292" s="156">
        <f t="shared" si="14"/>
        <v>1301250</v>
      </c>
    </row>
    <row r="293" spans="1:23" x14ac:dyDescent="0.2">
      <c r="A293" s="23" t="str">
        <f>Data!B289</f>
        <v>6471</v>
      </c>
      <c r="B293" s="21" t="str">
        <f>INDEX(Data[],MATCH($A293,Data[Dist],0),MATCH(B$5,Data[#Headers],0))</f>
        <v>Tripoli</v>
      </c>
      <c r="C293" s="22">
        <f>IF(Notes!$B$2="June",ROUND('Budget by Source'!C293/10,0)+P293,ROUND('Budget by Source'!C293/10,0))</f>
        <v>7374</v>
      </c>
      <c r="D293" s="22">
        <f>IF(Notes!$B$2="June",ROUND('Budget by Source'!D293/10,0)+Q293,ROUND('Budget by Source'!D293/10,0))</f>
        <v>27400</v>
      </c>
      <c r="E293" s="22">
        <f>IF(Notes!$B$2="June",ROUND('Budget by Source'!E293/10,0)+R293,ROUND('Budget by Source'!E293/10,0))</f>
        <v>2910</v>
      </c>
      <c r="F293" s="22">
        <f>IF(Notes!$B$2="June",ROUND('Budget by Source'!F293/10,0)+S293,ROUND('Budget by Source'!F293/10,0))</f>
        <v>2819</v>
      </c>
      <c r="G293" s="22">
        <f>IF(Notes!$B$2="June",ROUND('Budget by Source'!G293/10,0)+T293,ROUND('Budget by Source'!G293/10,0))</f>
        <v>14126</v>
      </c>
      <c r="H293" s="22">
        <f t="shared" si="12"/>
        <v>214058</v>
      </c>
      <c r="I293" s="22">
        <f>INDEX(Data[],MATCH($A293,Data[Dist],0),MATCH(I$5,Data[#Headers],0))</f>
        <v>268687</v>
      </c>
      <c r="K293" s="70">
        <f>INDEX('Payment Total'!$A$7:$H$336,MATCH('Payment by Source'!$A293,'Payment Total'!$A$7:$A$336,0),6)-I293</f>
        <v>0</v>
      </c>
      <c r="P293" s="158">
        <f>INDEX('Budget by Source'!$A$6:$I$335,MATCH('Payment by Source'!$A293,'Budget by Source'!$A$6:$A$335,0),MATCH(P$3,'Budget by Source'!$A$5:$I$5,0))-(ROUND(INDEX('Budget by Source'!$A$6:$I$335,MATCH('Payment by Source'!$A293,'Budget by Source'!$A$6:$A$335,0),MATCH(P$3,'Budget by Source'!$A$5:$I$5,0))/10,0)*10)</f>
        <v>1</v>
      </c>
      <c r="Q293" s="158">
        <f>INDEX('Budget by Source'!$A$6:$I$335,MATCH('Payment by Source'!$A293,'Budget by Source'!$A$6:$A$335,0),MATCH(Q$3,'Budget by Source'!$A$5:$I$5,0))-(ROUND(INDEX('Budget by Source'!$A$6:$I$335,MATCH('Payment by Source'!$A293,'Budget by Source'!$A$6:$A$335,0),MATCH(Q$3,'Budget by Source'!$A$5:$I$5,0))/10,0)*10)</f>
        <v>2</v>
      </c>
      <c r="R293" s="158">
        <f>INDEX('Budget by Source'!$A$6:$I$335,MATCH('Payment by Source'!$A293,'Budget by Source'!$A$6:$A$335,0),MATCH(R$3,'Budget by Source'!$A$5:$I$5,0))-(ROUND(INDEX('Budget by Source'!$A$6:$I$335,MATCH('Payment by Source'!$A293,'Budget by Source'!$A$6:$A$335,0),MATCH(R$3,'Budget by Source'!$A$5:$I$5,0))/10,0)*10)</f>
        <v>2</v>
      </c>
      <c r="S293" s="158">
        <f>INDEX('Budget by Source'!$A$6:$I$335,MATCH('Payment by Source'!$A293,'Budget by Source'!$A$6:$A$335,0),MATCH(S$3,'Budget by Source'!$A$5:$I$5,0))-(ROUND(INDEX('Budget by Source'!$A$6:$I$335,MATCH('Payment by Source'!$A293,'Budget by Source'!$A$6:$A$335,0),MATCH(S$3,'Budget by Source'!$A$5:$I$5,0))/10,0)*10)</f>
        <v>-4</v>
      </c>
      <c r="T293" s="158">
        <f>INDEX('Budget by Source'!$A$6:$I$335,MATCH('Payment by Source'!$A293,'Budget by Source'!$A$6:$A$335,0),MATCH(T$3,'Budget by Source'!$A$5:$I$5,0))-(ROUND(INDEX('Budget by Source'!$A$6:$I$335,MATCH('Payment by Source'!$A293,'Budget by Source'!$A$6:$A$335,0),MATCH(T$3,'Budget by Source'!$A$5:$I$5,0))/10,0)*10)</f>
        <v>-1</v>
      </c>
      <c r="U293" s="159">
        <f>INDEX('Budget by Source'!$A$6:$I$335,MATCH('Payment by Source'!$A293,'Budget by Source'!$A$6:$A$335,0),MATCH(U$3,'Budget by Source'!$A$5:$I$5,0))</f>
        <v>2147599</v>
      </c>
      <c r="V293" s="156">
        <f t="shared" si="13"/>
        <v>214760</v>
      </c>
      <c r="W293" s="156">
        <f t="shared" si="14"/>
        <v>2147600</v>
      </c>
    </row>
    <row r="294" spans="1:23" x14ac:dyDescent="0.2">
      <c r="A294" s="23" t="str">
        <f>Data!B290</f>
        <v>6509</v>
      </c>
      <c r="B294" s="21" t="str">
        <f>INDEX(Data[],MATCH($A294,Data[Dist],0),MATCH(B$5,Data[#Headers],0))</f>
        <v>Turkey Valley</v>
      </c>
      <c r="C294" s="22">
        <f>IF(Notes!$B$2="June",ROUND('Budget by Source'!C294/10,0)+P294,ROUND('Budget by Source'!C294/10,0))</f>
        <v>7374</v>
      </c>
      <c r="D294" s="22">
        <f>IF(Notes!$B$2="June",ROUND('Budget by Source'!D294/10,0)+Q294,ROUND('Budget by Source'!D294/10,0))</f>
        <v>22617</v>
      </c>
      <c r="E294" s="22">
        <f>IF(Notes!$B$2="June",ROUND('Budget by Source'!E294/10,0)+R294,ROUND('Budget by Source'!E294/10,0))</f>
        <v>1863</v>
      </c>
      <c r="F294" s="22">
        <f>IF(Notes!$B$2="June",ROUND('Budget by Source'!F294/10,0)+S294,ROUND('Budget by Source'!F294/10,0))</f>
        <v>2592</v>
      </c>
      <c r="G294" s="22">
        <f>IF(Notes!$B$2="June",ROUND('Budget by Source'!G294/10,0)+T294,ROUND('Budget by Source'!G294/10,0))</f>
        <v>11776</v>
      </c>
      <c r="H294" s="22">
        <f t="shared" si="12"/>
        <v>141083</v>
      </c>
      <c r="I294" s="22">
        <f>INDEX(Data[],MATCH($A294,Data[Dist],0),MATCH(I$5,Data[#Headers],0))</f>
        <v>187305</v>
      </c>
      <c r="K294" s="70">
        <f>INDEX('Payment Total'!$A$7:$H$336,MATCH('Payment by Source'!$A294,'Payment Total'!$A$7:$A$336,0),6)-I294</f>
        <v>0</v>
      </c>
      <c r="P294" s="158">
        <f>INDEX('Budget by Source'!$A$6:$I$335,MATCH('Payment by Source'!$A294,'Budget by Source'!$A$6:$A$335,0),MATCH(P$3,'Budget by Source'!$A$5:$I$5,0))-(ROUND(INDEX('Budget by Source'!$A$6:$I$335,MATCH('Payment by Source'!$A294,'Budget by Source'!$A$6:$A$335,0),MATCH(P$3,'Budget by Source'!$A$5:$I$5,0))/10,0)*10)</f>
        <v>1</v>
      </c>
      <c r="Q294" s="158">
        <f>INDEX('Budget by Source'!$A$6:$I$335,MATCH('Payment by Source'!$A294,'Budget by Source'!$A$6:$A$335,0),MATCH(Q$3,'Budget by Source'!$A$5:$I$5,0))-(ROUND(INDEX('Budget by Source'!$A$6:$I$335,MATCH('Payment by Source'!$A294,'Budget by Source'!$A$6:$A$335,0),MATCH(Q$3,'Budget by Source'!$A$5:$I$5,0))/10,0)*10)</f>
        <v>4</v>
      </c>
      <c r="R294" s="158">
        <f>INDEX('Budget by Source'!$A$6:$I$335,MATCH('Payment by Source'!$A294,'Budget by Source'!$A$6:$A$335,0),MATCH(R$3,'Budget by Source'!$A$5:$I$5,0))-(ROUND(INDEX('Budget by Source'!$A$6:$I$335,MATCH('Payment by Source'!$A294,'Budget by Source'!$A$6:$A$335,0),MATCH(R$3,'Budget by Source'!$A$5:$I$5,0))/10,0)*10)</f>
        <v>2</v>
      </c>
      <c r="S294" s="158">
        <f>INDEX('Budget by Source'!$A$6:$I$335,MATCH('Payment by Source'!$A294,'Budget by Source'!$A$6:$A$335,0),MATCH(S$3,'Budget by Source'!$A$5:$I$5,0))-(ROUND(INDEX('Budget by Source'!$A$6:$I$335,MATCH('Payment by Source'!$A294,'Budget by Source'!$A$6:$A$335,0),MATCH(S$3,'Budget by Source'!$A$5:$I$5,0))/10,0)*10)</f>
        <v>0</v>
      </c>
      <c r="T294" s="158">
        <f>INDEX('Budget by Source'!$A$6:$I$335,MATCH('Payment by Source'!$A294,'Budget by Source'!$A$6:$A$335,0),MATCH(T$3,'Budget by Source'!$A$5:$I$5,0))-(ROUND(INDEX('Budget by Source'!$A$6:$I$335,MATCH('Payment by Source'!$A294,'Budget by Source'!$A$6:$A$335,0),MATCH(T$3,'Budget by Source'!$A$5:$I$5,0))/10,0)*10)</f>
        <v>-1</v>
      </c>
      <c r="U294" s="159">
        <f>INDEX('Budget by Source'!$A$6:$I$335,MATCH('Payment by Source'!$A294,'Budget by Source'!$A$6:$A$335,0),MATCH(U$3,'Budget by Source'!$A$5:$I$5,0))</f>
        <v>1416904</v>
      </c>
      <c r="V294" s="156">
        <f t="shared" si="13"/>
        <v>141690</v>
      </c>
      <c r="W294" s="156">
        <f t="shared" si="14"/>
        <v>1416900</v>
      </c>
    </row>
    <row r="295" spans="1:23" x14ac:dyDescent="0.2">
      <c r="A295" s="23" t="str">
        <f>Data!B291</f>
        <v>6512</v>
      </c>
      <c r="B295" s="21" t="str">
        <f>INDEX(Data[],MATCH($A295,Data[Dist],0),MATCH(B$5,Data[#Headers],0))</f>
        <v>Twin Cedars</v>
      </c>
      <c r="C295" s="22">
        <f>IF(Notes!$B$2="June",ROUND('Budget by Source'!C295/10,0)+P295,ROUND('Budget by Source'!C295/10,0))</f>
        <v>5028</v>
      </c>
      <c r="D295" s="22">
        <f>IF(Notes!$B$2="June",ROUND('Budget by Source'!D295/10,0)+Q295,ROUND('Budget by Source'!D295/10,0))</f>
        <v>21957</v>
      </c>
      <c r="E295" s="22">
        <f>IF(Notes!$B$2="June",ROUND('Budget by Source'!E295/10,0)+R295,ROUND('Budget by Source'!E295/10,0))</f>
        <v>2671</v>
      </c>
      <c r="F295" s="22">
        <f>IF(Notes!$B$2="June",ROUND('Budget by Source'!F295/10,0)+S295,ROUND('Budget by Source'!F295/10,0))</f>
        <v>2292</v>
      </c>
      <c r="G295" s="22">
        <f>IF(Notes!$B$2="June",ROUND('Budget by Source'!G295/10,0)+T295,ROUND('Budget by Source'!G295/10,0))</f>
        <v>11266</v>
      </c>
      <c r="H295" s="22">
        <f t="shared" si="12"/>
        <v>175779</v>
      </c>
      <c r="I295" s="22">
        <f>INDEX(Data[],MATCH($A295,Data[Dist],0),MATCH(I$5,Data[#Headers],0))</f>
        <v>218993</v>
      </c>
      <c r="K295" s="70">
        <f>INDEX('Payment Total'!$A$7:$H$336,MATCH('Payment by Source'!$A295,'Payment Total'!$A$7:$A$336,0),6)-I295</f>
        <v>0</v>
      </c>
      <c r="P295" s="158">
        <f>INDEX('Budget by Source'!$A$6:$I$335,MATCH('Payment by Source'!$A295,'Budget by Source'!$A$6:$A$335,0),MATCH(P$3,'Budget by Source'!$A$5:$I$5,0))-(ROUND(INDEX('Budget by Source'!$A$6:$I$335,MATCH('Payment by Source'!$A295,'Budget by Source'!$A$6:$A$335,0),MATCH(P$3,'Budget by Source'!$A$5:$I$5,0))/10,0)*10)</f>
        <v>1</v>
      </c>
      <c r="Q295" s="158">
        <f>INDEX('Budget by Source'!$A$6:$I$335,MATCH('Payment by Source'!$A295,'Budget by Source'!$A$6:$A$335,0),MATCH(Q$3,'Budget by Source'!$A$5:$I$5,0))-(ROUND(INDEX('Budget by Source'!$A$6:$I$335,MATCH('Payment by Source'!$A295,'Budget by Source'!$A$6:$A$335,0),MATCH(Q$3,'Budget by Source'!$A$5:$I$5,0))/10,0)*10)</f>
        <v>2</v>
      </c>
      <c r="R295" s="158">
        <f>INDEX('Budget by Source'!$A$6:$I$335,MATCH('Payment by Source'!$A295,'Budget by Source'!$A$6:$A$335,0),MATCH(R$3,'Budget by Source'!$A$5:$I$5,0))-(ROUND(INDEX('Budget by Source'!$A$6:$I$335,MATCH('Payment by Source'!$A295,'Budget by Source'!$A$6:$A$335,0),MATCH(R$3,'Budget by Source'!$A$5:$I$5,0))/10,0)*10)</f>
        <v>-3</v>
      </c>
      <c r="S295" s="158">
        <f>INDEX('Budget by Source'!$A$6:$I$335,MATCH('Payment by Source'!$A295,'Budget by Source'!$A$6:$A$335,0),MATCH(S$3,'Budget by Source'!$A$5:$I$5,0))-(ROUND(INDEX('Budget by Source'!$A$6:$I$335,MATCH('Payment by Source'!$A295,'Budget by Source'!$A$6:$A$335,0),MATCH(S$3,'Budget by Source'!$A$5:$I$5,0))/10,0)*10)</f>
        <v>3</v>
      </c>
      <c r="T295" s="158">
        <f>INDEX('Budget by Source'!$A$6:$I$335,MATCH('Payment by Source'!$A295,'Budget by Source'!$A$6:$A$335,0),MATCH(T$3,'Budget by Source'!$A$5:$I$5,0))-(ROUND(INDEX('Budget by Source'!$A$6:$I$335,MATCH('Payment by Source'!$A295,'Budget by Source'!$A$6:$A$335,0),MATCH(T$3,'Budget by Source'!$A$5:$I$5,0))/10,0)*10)</f>
        <v>0</v>
      </c>
      <c r="U295" s="159">
        <f>INDEX('Budget by Source'!$A$6:$I$335,MATCH('Payment by Source'!$A295,'Budget by Source'!$A$6:$A$335,0),MATCH(U$3,'Budget by Source'!$A$5:$I$5,0))</f>
        <v>1763469</v>
      </c>
      <c r="V295" s="156">
        <f t="shared" si="13"/>
        <v>176347</v>
      </c>
      <c r="W295" s="156">
        <f t="shared" si="14"/>
        <v>1763470</v>
      </c>
    </row>
    <row r="296" spans="1:23" x14ac:dyDescent="0.2">
      <c r="A296" s="23" t="str">
        <f>Data!B292</f>
        <v>6516</v>
      </c>
      <c r="B296" s="21" t="str">
        <f>INDEX(Data[],MATCH($A296,Data[Dist],0),MATCH(B$5,Data[#Headers],0))</f>
        <v>Twin Rivers</v>
      </c>
      <c r="C296" s="22">
        <f>IF(Notes!$B$2="June",ROUND('Budget by Source'!C296/10,0)+P296,ROUND('Budget by Source'!C296/10,0))</f>
        <v>2009</v>
      </c>
      <c r="D296" s="22">
        <f>IF(Notes!$B$2="June",ROUND('Budget by Source'!D296/10,0)+Q296,ROUND('Budget by Source'!D296/10,0))</f>
        <v>10549</v>
      </c>
      <c r="E296" s="22">
        <f>IF(Notes!$B$2="June",ROUND('Budget by Source'!E296/10,0)+R296,ROUND('Budget by Source'!E296/10,0))</f>
        <v>1015</v>
      </c>
      <c r="F296" s="22">
        <f>IF(Notes!$B$2="June",ROUND('Budget by Source'!F296/10,0)+S296,ROUND('Budget by Source'!F296/10,0))</f>
        <v>1029</v>
      </c>
      <c r="G296" s="22">
        <f>IF(Notes!$B$2="June",ROUND('Budget by Source'!G296/10,0)+T296,ROUND('Budget by Source'!G296/10,0))</f>
        <v>5237</v>
      </c>
      <c r="H296" s="22">
        <f t="shared" si="12"/>
        <v>35645</v>
      </c>
      <c r="I296" s="22">
        <f>INDEX(Data[],MATCH($A296,Data[Dist],0),MATCH(I$5,Data[#Headers],0))</f>
        <v>55484</v>
      </c>
      <c r="K296" s="70">
        <f>INDEX('Payment Total'!$A$7:$H$336,MATCH('Payment by Source'!$A296,'Payment Total'!$A$7:$A$336,0),6)-I296</f>
        <v>0</v>
      </c>
      <c r="P296" s="158">
        <f>INDEX('Budget by Source'!$A$6:$I$335,MATCH('Payment by Source'!$A296,'Budget by Source'!$A$6:$A$335,0),MATCH(P$3,'Budget by Source'!$A$5:$I$5,0))-(ROUND(INDEX('Budget by Source'!$A$6:$I$335,MATCH('Payment by Source'!$A296,'Budget by Source'!$A$6:$A$335,0),MATCH(P$3,'Budget by Source'!$A$5:$I$5,0))/10,0)*10)</f>
        <v>-2</v>
      </c>
      <c r="Q296" s="158">
        <f>INDEX('Budget by Source'!$A$6:$I$335,MATCH('Payment by Source'!$A296,'Budget by Source'!$A$6:$A$335,0),MATCH(Q$3,'Budget by Source'!$A$5:$I$5,0))-(ROUND(INDEX('Budget by Source'!$A$6:$I$335,MATCH('Payment by Source'!$A296,'Budget by Source'!$A$6:$A$335,0),MATCH(Q$3,'Budget by Source'!$A$5:$I$5,0))/10,0)*10)</f>
        <v>1</v>
      </c>
      <c r="R296" s="158">
        <f>INDEX('Budget by Source'!$A$6:$I$335,MATCH('Payment by Source'!$A296,'Budget by Source'!$A$6:$A$335,0),MATCH(R$3,'Budget by Source'!$A$5:$I$5,0))-(ROUND(INDEX('Budget by Source'!$A$6:$I$335,MATCH('Payment by Source'!$A296,'Budget by Source'!$A$6:$A$335,0),MATCH(R$3,'Budget by Source'!$A$5:$I$5,0))/10,0)*10)</f>
        <v>-5</v>
      </c>
      <c r="S296" s="158">
        <f>INDEX('Budget by Source'!$A$6:$I$335,MATCH('Payment by Source'!$A296,'Budget by Source'!$A$6:$A$335,0),MATCH(S$3,'Budget by Source'!$A$5:$I$5,0))-(ROUND(INDEX('Budget by Source'!$A$6:$I$335,MATCH('Payment by Source'!$A296,'Budget by Source'!$A$6:$A$335,0),MATCH(S$3,'Budget by Source'!$A$5:$I$5,0))/10,0)*10)</f>
        <v>-4</v>
      </c>
      <c r="T296" s="158">
        <f>INDEX('Budget by Source'!$A$6:$I$335,MATCH('Payment by Source'!$A296,'Budget by Source'!$A$6:$A$335,0),MATCH(T$3,'Budget by Source'!$A$5:$I$5,0))-(ROUND(INDEX('Budget by Source'!$A$6:$I$335,MATCH('Payment by Source'!$A296,'Budget by Source'!$A$6:$A$335,0),MATCH(T$3,'Budget by Source'!$A$5:$I$5,0))/10,0)*10)</f>
        <v>0</v>
      </c>
      <c r="U296" s="159">
        <f>INDEX('Budget by Source'!$A$6:$I$335,MATCH('Payment by Source'!$A296,'Budget by Source'!$A$6:$A$335,0),MATCH(U$3,'Budget by Source'!$A$5:$I$5,0))</f>
        <v>358735</v>
      </c>
      <c r="V296" s="156">
        <f t="shared" si="13"/>
        <v>35874</v>
      </c>
      <c r="W296" s="156">
        <f t="shared" si="14"/>
        <v>358740</v>
      </c>
    </row>
    <row r="297" spans="1:23" x14ac:dyDescent="0.2">
      <c r="A297" s="23" t="str">
        <f>Data!B293</f>
        <v>6534</v>
      </c>
      <c r="B297" s="21" t="str">
        <f>INDEX(Data[],MATCH($A297,Data[Dist],0),MATCH(B$5,Data[#Headers],0))</f>
        <v>Underwood</v>
      </c>
      <c r="C297" s="22">
        <f>IF(Notes!$B$2="June",ROUND('Budget by Source'!C297/10,0)+P297,ROUND('Budget by Source'!C297/10,0))</f>
        <v>13403</v>
      </c>
      <c r="D297" s="22">
        <f>IF(Notes!$B$2="June",ROUND('Budget by Source'!D297/10,0)+Q297,ROUND('Budget by Source'!D297/10,0))</f>
        <v>38729</v>
      </c>
      <c r="E297" s="22">
        <f>IF(Notes!$B$2="June",ROUND('Budget by Source'!E297/10,0)+R297,ROUND('Budget by Source'!E297/10,0))</f>
        <v>4409</v>
      </c>
      <c r="F297" s="22">
        <f>IF(Notes!$B$2="June",ROUND('Budget by Source'!F297/10,0)+S297,ROUND('Budget by Source'!F297/10,0))</f>
        <v>3987</v>
      </c>
      <c r="G297" s="22">
        <f>IF(Notes!$B$2="June",ROUND('Budget by Source'!G297/10,0)+T297,ROUND('Budget by Source'!G297/10,0))</f>
        <v>22885</v>
      </c>
      <c r="H297" s="22">
        <f t="shared" si="12"/>
        <v>307010</v>
      </c>
      <c r="I297" s="22">
        <f>INDEX(Data[],MATCH($A297,Data[Dist],0),MATCH(I$5,Data[#Headers],0))</f>
        <v>390423</v>
      </c>
      <c r="K297" s="70">
        <f>INDEX('Payment Total'!$A$7:$H$336,MATCH('Payment by Source'!$A297,'Payment Total'!$A$7:$A$336,0),6)-I297</f>
        <v>0</v>
      </c>
      <c r="P297" s="158">
        <f>INDEX('Budget by Source'!$A$6:$I$335,MATCH('Payment by Source'!$A297,'Budget by Source'!$A$6:$A$335,0),MATCH(P$3,'Budget by Source'!$A$5:$I$5,0))-(ROUND(INDEX('Budget by Source'!$A$6:$I$335,MATCH('Payment by Source'!$A297,'Budget by Source'!$A$6:$A$335,0),MATCH(P$3,'Budget by Source'!$A$5:$I$5,0))/10,0)*10)</f>
        <v>-3</v>
      </c>
      <c r="Q297" s="158">
        <f>INDEX('Budget by Source'!$A$6:$I$335,MATCH('Payment by Source'!$A297,'Budget by Source'!$A$6:$A$335,0),MATCH(Q$3,'Budget by Source'!$A$5:$I$5,0))-(ROUND(INDEX('Budget by Source'!$A$6:$I$335,MATCH('Payment by Source'!$A297,'Budget by Source'!$A$6:$A$335,0),MATCH(Q$3,'Budget by Source'!$A$5:$I$5,0))/10,0)*10)</f>
        <v>-3</v>
      </c>
      <c r="R297" s="158">
        <f>INDEX('Budget by Source'!$A$6:$I$335,MATCH('Payment by Source'!$A297,'Budget by Source'!$A$6:$A$335,0),MATCH(R$3,'Budget by Source'!$A$5:$I$5,0))-(ROUND(INDEX('Budget by Source'!$A$6:$I$335,MATCH('Payment by Source'!$A297,'Budget by Source'!$A$6:$A$335,0),MATCH(R$3,'Budget by Source'!$A$5:$I$5,0))/10,0)*10)</f>
        <v>2</v>
      </c>
      <c r="S297" s="158">
        <f>INDEX('Budget by Source'!$A$6:$I$335,MATCH('Payment by Source'!$A297,'Budget by Source'!$A$6:$A$335,0),MATCH(S$3,'Budget by Source'!$A$5:$I$5,0))-(ROUND(INDEX('Budget by Source'!$A$6:$I$335,MATCH('Payment by Source'!$A297,'Budget by Source'!$A$6:$A$335,0),MATCH(S$3,'Budget by Source'!$A$5:$I$5,0))/10,0)*10)</f>
        <v>-5</v>
      </c>
      <c r="T297" s="158">
        <f>INDEX('Budget by Source'!$A$6:$I$335,MATCH('Payment by Source'!$A297,'Budget by Source'!$A$6:$A$335,0),MATCH(T$3,'Budget by Source'!$A$5:$I$5,0))-(ROUND(INDEX('Budget by Source'!$A$6:$I$335,MATCH('Payment by Source'!$A297,'Budget by Source'!$A$6:$A$335,0),MATCH(T$3,'Budget by Source'!$A$5:$I$5,0))/10,0)*10)</f>
        <v>-3</v>
      </c>
      <c r="U297" s="159">
        <f>INDEX('Budget by Source'!$A$6:$I$335,MATCH('Payment by Source'!$A297,'Budget by Source'!$A$6:$A$335,0),MATCH(U$3,'Budget by Source'!$A$5:$I$5,0))</f>
        <v>3081668</v>
      </c>
      <c r="V297" s="156">
        <f t="shared" si="13"/>
        <v>308167</v>
      </c>
      <c r="W297" s="156">
        <f t="shared" si="14"/>
        <v>3081670</v>
      </c>
    </row>
    <row r="298" spans="1:23" x14ac:dyDescent="0.2">
      <c r="A298" s="23" t="str">
        <f>Data!B294</f>
        <v>6561</v>
      </c>
      <c r="B298" s="21" t="str">
        <f>INDEX(Data[],MATCH($A298,Data[Dist],0),MATCH(B$5,Data[#Headers],0))</f>
        <v>United</v>
      </c>
      <c r="C298" s="22">
        <f>IF(Notes!$B$2="June",ROUND('Budget by Source'!C298/10,0)+P298,ROUND('Budget by Source'!C298/10,0))</f>
        <v>17431</v>
      </c>
      <c r="D298" s="22">
        <f>IF(Notes!$B$2="June",ROUND('Budget by Source'!D298/10,0)+Q298,ROUND('Budget by Source'!D298/10,0))</f>
        <v>18775</v>
      </c>
      <c r="E298" s="22">
        <f>IF(Notes!$B$2="June",ROUND('Budget by Source'!E298/10,0)+R298,ROUND('Budget by Source'!E298/10,0))</f>
        <v>2537</v>
      </c>
      <c r="F298" s="22">
        <f>IF(Notes!$B$2="June",ROUND('Budget by Source'!F298/10,0)+S298,ROUND('Budget by Source'!F298/10,0))</f>
        <v>1608</v>
      </c>
      <c r="G298" s="22">
        <f>IF(Notes!$B$2="June",ROUND('Budget by Source'!G298/10,0)+T298,ROUND('Budget by Source'!G298/10,0))</f>
        <v>12179</v>
      </c>
      <c r="H298" s="22">
        <f t="shared" si="12"/>
        <v>96280</v>
      </c>
      <c r="I298" s="22">
        <f>INDEX(Data[],MATCH($A298,Data[Dist],0),MATCH(I$5,Data[#Headers],0))</f>
        <v>148810</v>
      </c>
      <c r="K298" s="70">
        <f>INDEX('Payment Total'!$A$7:$H$336,MATCH('Payment by Source'!$A298,'Payment Total'!$A$7:$A$336,0),6)-I298</f>
        <v>0</v>
      </c>
      <c r="P298" s="158">
        <f>INDEX('Budget by Source'!$A$6:$I$335,MATCH('Payment by Source'!$A298,'Budget by Source'!$A$6:$A$335,0),MATCH(P$3,'Budget by Source'!$A$5:$I$5,0))-(ROUND(INDEX('Budget by Source'!$A$6:$I$335,MATCH('Payment by Source'!$A298,'Budget by Source'!$A$6:$A$335,0),MATCH(P$3,'Budget by Source'!$A$5:$I$5,0))/10,0)*10)</f>
        <v>4</v>
      </c>
      <c r="Q298" s="158">
        <f>INDEX('Budget by Source'!$A$6:$I$335,MATCH('Payment by Source'!$A298,'Budget by Source'!$A$6:$A$335,0),MATCH(Q$3,'Budget by Source'!$A$5:$I$5,0))-(ROUND(INDEX('Budget by Source'!$A$6:$I$335,MATCH('Payment by Source'!$A298,'Budget by Source'!$A$6:$A$335,0),MATCH(Q$3,'Budget by Source'!$A$5:$I$5,0))/10,0)*10)</f>
        <v>-3</v>
      </c>
      <c r="R298" s="158">
        <f>INDEX('Budget by Source'!$A$6:$I$335,MATCH('Payment by Source'!$A298,'Budget by Source'!$A$6:$A$335,0),MATCH(R$3,'Budget by Source'!$A$5:$I$5,0))-(ROUND(INDEX('Budget by Source'!$A$6:$I$335,MATCH('Payment by Source'!$A298,'Budget by Source'!$A$6:$A$335,0),MATCH(R$3,'Budget by Source'!$A$5:$I$5,0))/10,0)*10)</f>
        <v>-3</v>
      </c>
      <c r="S298" s="158">
        <f>INDEX('Budget by Source'!$A$6:$I$335,MATCH('Payment by Source'!$A298,'Budget by Source'!$A$6:$A$335,0),MATCH(S$3,'Budget by Source'!$A$5:$I$5,0))-(ROUND(INDEX('Budget by Source'!$A$6:$I$335,MATCH('Payment by Source'!$A298,'Budget by Source'!$A$6:$A$335,0),MATCH(S$3,'Budget by Source'!$A$5:$I$5,0))/10,0)*10)</f>
        <v>-3</v>
      </c>
      <c r="T298" s="158">
        <f>INDEX('Budget by Source'!$A$6:$I$335,MATCH('Payment by Source'!$A298,'Budget by Source'!$A$6:$A$335,0),MATCH(T$3,'Budget by Source'!$A$5:$I$5,0))-(ROUND(INDEX('Budget by Source'!$A$6:$I$335,MATCH('Payment by Source'!$A298,'Budget by Source'!$A$6:$A$335,0),MATCH(T$3,'Budget by Source'!$A$5:$I$5,0))/10,0)*10)</f>
        <v>-3</v>
      </c>
      <c r="U298" s="159">
        <f>INDEX('Budget by Source'!$A$6:$I$335,MATCH('Payment by Source'!$A298,'Budget by Source'!$A$6:$A$335,0),MATCH(U$3,'Budget by Source'!$A$5:$I$5,0))</f>
        <v>968931</v>
      </c>
      <c r="V298" s="156">
        <f t="shared" si="13"/>
        <v>96893</v>
      </c>
      <c r="W298" s="156">
        <f t="shared" si="14"/>
        <v>968930</v>
      </c>
    </row>
    <row r="299" spans="1:23" x14ac:dyDescent="0.2">
      <c r="A299" s="23" t="str">
        <f>Data!B295</f>
        <v>6579</v>
      </c>
      <c r="B299" s="21" t="str">
        <f>INDEX(Data[],MATCH($A299,Data[Dist],0),MATCH(B$5,Data[#Headers],0))</f>
        <v>Urbandale</v>
      </c>
      <c r="C299" s="22">
        <f>IF(Notes!$B$2="June",ROUND('Budget by Source'!C299/10,0)+P299,ROUND('Budget by Source'!C299/10,0))</f>
        <v>66358</v>
      </c>
      <c r="D299" s="22">
        <f>IF(Notes!$B$2="June",ROUND('Budget by Source'!D299/10,0)+Q299,ROUND('Budget by Source'!D299/10,0))</f>
        <v>200228</v>
      </c>
      <c r="E299" s="22">
        <f>IF(Notes!$B$2="June",ROUND('Budget by Source'!E299/10,0)+R299,ROUND('Budget by Source'!E299/10,0))</f>
        <v>22708</v>
      </c>
      <c r="F299" s="22">
        <f>IF(Notes!$B$2="June",ROUND('Budget by Source'!F299/10,0)+S299,ROUND('Budget by Source'!F299/10,0))</f>
        <v>23615</v>
      </c>
      <c r="G299" s="22">
        <f>IF(Notes!$B$2="June",ROUND('Budget by Source'!G299/10,0)+T299,ROUND('Budget by Source'!G299/10,0))</f>
        <v>111213</v>
      </c>
      <c r="H299" s="22">
        <f t="shared" si="12"/>
        <v>1516770</v>
      </c>
      <c r="I299" s="22">
        <f>INDEX(Data[],MATCH($A299,Data[Dist],0),MATCH(I$5,Data[#Headers],0))</f>
        <v>1940892</v>
      </c>
      <c r="K299" s="70">
        <f>INDEX('Payment Total'!$A$7:$H$336,MATCH('Payment by Source'!$A299,'Payment Total'!$A$7:$A$336,0),6)-I299</f>
        <v>0</v>
      </c>
      <c r="P299" s="158">
        <f>INDEX('Budget by Source'!$A$6:$I$335,MATCH('Payment by Source'!$A299,'Budget by Source'!$A$6:$A$335,0),MATCH(P$3,'Budget by Source'!$A$5:$I$5,0))-(ROUND(INDEX('Budget by Source'!$A$6:$I$335,MATCH('Payment by Source'!$A299,'Budget by Source'!$A$6:$A$335,0),MATCH(P$3,'Budget by Source'!$A$5:$I$5,0))/10,0)*10)</f>
        <v>0</v>
      </c>
      <c r="Q299" s="158">
        <f>INDEX('Budget by Source'!$A$6:$I$335,MATCH('Payment by Source'!$A299,'Budget by Source'!$A$6:$A$335,0),MATCH(Q$3,'Budget by Source'!$A$5:$I$5,0))-(ROUND(INDEX('Budget by Source'!$A$6:$I$335,MATCH('Payment by Source'!$A299,'Budget by Source'!$A$6:$A$335,0),MATCH(Q$3,'Budget by Source'!$A$5:$I$5,0))/10,0)*10)</f>
        <v>-5</v>
      </c>
      <c r="R299" s="158">
        <f>INDEX('Budget by Source'!$A$6:$I$335,MATCH('Payment by Source'!$A299,'Budget by Source'!$A$6:$A$335,0),MATCH(R$3,'Budget by Source'!$A$5:$I$5,0))-(ROUND(INDEX('Budget by Source'!$A$6:$I$335,MATCH('Payment by Source'!$A299,'Budget by Source'!$A$6:$A$335,0),MATCH(R$3,'Budget by Source'!$A$5:$I$5,0))/10,0)*10)</f>
        <v>-2</v>
      </c>
      <c r="S299" s="158">
        <f>INDEX('Budget by Source'!$A$6:$I$335,MATCH('Payment by Source'!$A299,'Budget by Source'!$A$6:$A$335,0),MATCH(S$3,'Budget by Source'!$A$5:$I$5,0))-(ROUND(INDEX('Budget by Source'!$A$6:$I$335,MATCH('Payment by Source'!$A299,'Budget by Source'!$A$6:$A$335,0),MATCH(S$3,'Budget by Source'!$A$5:$I$5,0))/10,0)*10)</f>
        <v>-1</v>
      </c>
      <c r="T299" s="158">
        <f>INDEX('Budget by Source'!$A$6:$I$335,MATCH('Payment by Source'!$A299,'Budget by Source'!$A$6:$A$335,0),MATCH(T$3,'Budget by Source'!$A$5:$I$5,0))-(ROUND(INDEX('Budget by Source'!$A$6:$I$335,MATCH('Payment by Source'!$A299,'Budget by Source'!$A$6:$A$335,0),MATCH(T$3,'Budget by Source'!$A$5:$I$5,0))/10,0)*10)</f>
        <v>-3</v>
      </c>
      <c r="U299" s="159">
        <f>INDEX('Budget by Source'!$A$6:$I$335,MATCH('Payment by Source'!$A299,'Budget by Source'!$A$6:$A$335,0),MATCH(U$3,'Budget by Source'!$A$5:$I$5,0))</f>
        <v>15224330</v>
      </c>
      <c r="V299" s="156">
        <f t="shared" si="13"/>
        <v>1522433</v>
      </c>
      <c r="W299" s="156">
        <f t="shared" si="14"/>
        <v>15224330</v>
      </c>
    </row>
    <row r="300" spans="1:23" x14ac:dyDescent="0.2">
      <c r="A300" s="23" t="str">
        <f>Data!B296</f>
        <v>6592</v>
      </c>
      <c r="B300" s="21" t="str">
        <f>INDEX(Data[],MATCH($A300,Data[Dist],0),MATCH(B$5,Data[#Headers],0))</f>
        <v>Van Buren</v>
      </c>
      <c r="C300" s="22">
        <f>IF(Notes!$B$2="June",ROUND('Budget by Source'!C300/10,0)+P300,ROUND('Budget by Source'!C300/10,0))</f>
        <v>14412</v>
      </c>
      <c r="D300" s="22">
        <f>IF(Notes!$B$2="June",ROUND('Budget by Source'!D300/10,0)+Q300,ROUND('Budget by Source'!D300/10,0))</f>
        <v>37281</v>
      </c>
      <c r="E300" s="22">
        <f>IF(Notes!$B$2="June",ROUND('Budget by Source'!E300/10,0)+R300,ROUND('Budget by Source'!E300/10,0))</f>
        <v>4468</v>
      </c>
      <c r="F300" s="22">
        <f>IF(Notes!$B$2="June",ROUND('Budget by Source'!F300/10,0)+S300,ROUND('Budget by Source'!F300/10,0))</f>
        <v>3714</v>
      </c>
      <c r="G300" s="22">
        <f>IF(Notes!$B$2="June",ROUND('Budget by Source'!G300/10,0)+T300,ROUND('Budget by Source'!G300/10,0))</f>
        <v>20818</v>
      </c>
      <c r="H300" s="22">
        <f t="shared" si="12"/>
        <v>319956</v>
      </c>
      <c r="I300" s="22">
        <f>INDEX(Data[],MATCH($A300,Data[Dist],0),MATCH(I$5,Data[#Headers],0))</f>
        <v>400649</v>
      </c>
      <c r="K300" s="70">
        <f>INDEX('Payment Total'!$A$7:$H$336,MATCH('Payment by Source'!$A300,'Payment Total'!$A$7:$A$336,0),6)-I300</f>
        <v>0</v>
      </c>
      <c r="P300" s="158">
        <f>INDEX('Budget by Source'!$A$6:$I$335,MATCH('Payment by Source'!$A300,'Budget by Source'!$A$6:$A$335,0),MATCH(P$3,'Budget by Source'!$A$5:$I$5,0))-(ROUND(INDEX('Budget by Source'!$A$6:$I$335,MATCH('Payment by Source'!$A300,'Budget by Source'!$A$6:$A$335,0),MATCH(P$3,'Budget by Source'!$A$5:$I$5,0))/10,0)*10)</f>
        <v>1</v>
      </c>
      <c r="Q300" s="158">
        <f>INDEX('Budget by Source'!$A$6:$I$335,MATCH('Payment by Source'!$A300,'Budget by Source'!$A$6:$A$335,0),MATCH(Q$3,'Budget by Source'!$A$5:$I$5,0))-(ROUND(INDEX('Budget by Source'!$A$6:$I$335,MATCH('Payment by Source'!$A300,'Budget by Source'!$A$6:$A$335,0),MATCH(Q$3,'Budget by Source'!$A$5:$I$5,0))/10,0)*10)</f>
        <v>0</v>
      </c>
      <c r="R300" s="158">
        <f>INDEX('Budget by Source'!$A$6:$I$335,MATCH('Payment by Source'!$A300,'Budget by Source'!$A$6:$A$335,0),MATCH(R$3,'Budget by Source'!$A$5:$I$5,0))-(ROUND(INDEX('Budget by Source'!$A$6:$I$335,MATCH('Payment by Source'!$A300,'Budget by Source'!$A$6:$A$335,0),MATCH(R$3,'Budget by Source'!$A$5:$I$5,0))/10,0)*10)</f>
        <v>-1</v>
      </c>
      <c r="S300" s="158">
        <f>INDEX('Budget by Source'!$A$6:$I$335,MATCH('Payment by Source'!$A300,'Budget by Source'!$A$6:$A$335,0),MATCH(S$3,'Budget by Source'!$A$5:$I$5,0))-(ROUND(INDEX('Budget by Source'!$A$6:$I$335,MATCH('Payment by Source'!$A300,'Budget by Source'!$A$6:$A$335,0),MATCH(S$3,'Budget by Source'!$A$5:$I$5,0))/10,0)*10)</f>
        <v>2</v>
      </c>
      <c r="T300" s="158">
        <f>INDEX('Budget by Source'!$A$6:$I$335,MATCH('Payment by Source'!$A300,'Budget by Source'!$A$6:$A$335,0),MATCH(T$3,'Budget by Source'!$A$5:$I$5,0))-(ROUND(INDEX('Budget by Source'!$A$6:$I$335,MATCH('Payment by Source'!$A300,'Budget by Source'!$A$6:$A$335,0),MATCH(T$3,'Budget by Source'!$A$5:$I$5,0))/10,0)*10)</f>
        <v>4</v>
      </c>
      <c r="U300" s="159">
        <f>INDEX('Budget by Source'!$A$6:$I$335,MATCH('Payment by Source'!$A300,'Budget by Source'!$A$6:$A$335,0),MATCH(U$3,'Budget by Source'!$A$5:$I$5,0))</f>
        <v>3210225</v>
      </c>
      <c r="V300" s="156">
        <f t="shared" si="13"/>
        <v>321023</v>
      </c>
      <c r="W300" s="156">
        <f t="shared" si="14"/>
        <v>3210230</v>
      </c>
    </row>
    <row r="301" spans="1:23" x14ac:dyDescent="0.2">
      <c r="A301" s="23" t="str">
        <f>Data!B297</f>
        <v>6615</v>
      </c>
      <c r="B301" s="21" t="str">
        <f>INDEX(Data[],MATCH($A301,Data[Dist],0),MATCH(B$5,Data[#Headers],0))</f>
        <v>Van Meter</v>
      </c>
      <c r="C301" s="22">
        <f>IF(Notes!$B$2="June",ROUND('Budget by Source'!C301/10,0)+P301,ROUND('Budget by Source'!C301/10,0))</f>
        <v>0</v>
      </c>
      <c r="D301" s="22">
        <f>IF(Notes!$B$2="June",ROUND('Budget by Source'!D301/10,0)+Q301,ROUND('Budget by Source'!D301/10,0))</f>
        <v>41409</v>
      </c>
      <c r="E301" s="22">
        <f>IF(Notes!$B$2="June",ROUND('Budget by Source'!E301/10,0)+R301,ROUND('Budget by Source'!E301/10,0))</f>
        <v>4495</v>
      </c>
      <c r="F301" s="22">
        <f>IF(Notes!$B$2="June",ROUND('Budget by Source'!F301/10,0)+S301,ROUND('Budget by Source'!F301/10,0))</f>
        <v>4272</v>
      </c>
      <c r="G301" s="22">
        <f>IF(Notes!$B$2="June",ROUND('Budget by Source'!G301/10,0)+T301,ROUND('Budget by Source'!G301/10,0))</f>
        <v>22600</v>
      </c>
      <c r="H301" s="22">
        <f t="shared" si="12"/>
        <v>310732</v>
      </c>
      <c r="I301" s="22">
        <f>INDEX(Data[],MATCH($A301,Data[Dist],0),MATCH(I$5,Data[#Headers],0))</f>
        <v>383508</v>
      </c>
      <c r="K301" s="70">
        <f>INDEX('Payment Total'!$A$7:$H$336,MATCH('Payment by Source'!$A301,'Payment Total'!$A$7:$A$336,0),6)-I301</f>
        <v>0</v>
      </c>
      <c r="P301" s="158">
        <f>INDEX('Budget by Source'!$A$6:$I$335,MATCH('Payment by Source'!$A301,'Budget by Source'!$A$6:$A$335,0),MATCH(P$3,'Budget by Source'!$A$5:$I$5,0))-(ROUND(INDEX('Budget by Source'!$A$6:$I$335,MATCH('Payment by Source'!$A301,'Budget by Source'!$A$6:$A$335,0),MATCH(P$3,'Budget by Source'!$A$5:$I$5,0))/10,0)*10)</f>
        <v>0</v>
      </c>
      <c r="Q301" s="158">
        <f>INDEX('Budget by Source'!$A$6:$I$335,MATCH('Payment by Source'!$A301,'Budget by Source'!$A$6:$A$335,0),MATCH(Q$3,'Budget by Source'!$A$5:$I$5,0))-(ROUND(INDEX('Budget by Source'!$A$6:$I$335,MATCH('Payment by Source'!$A301,'Budget by Source'!$A$6:$A$335,0),MATCH(Q$3,'Budget by Source'!$A$5:$I$5,0))/10,0)*10)</f>
        <v>2</v>
      </c>
      <c r="R301" s="158">
        <f>INDEX('Budget by Source'!$A$6:$I$335,MATCH('Payment by Source'!$A301,'Budget by Source'!$A$6:$A$335,0),MATCH(R$3,'Budget by Source'!$A$5:$I$5,0))-(ROUND(INDEX('Budget by Source'!$A$6:$I$335,MATCH('Payment by Source'!$A301,'Budget by Source'!$A$6:$A$335,0),MATCH(R$3,'Budget by Source'!$A$5:$I$5,0))/10,0)*10)</f>
        <v>3</v>
      </c>
      <c r="S301" s="158">
        <f>INDEX('Budget by Source'!$A$6:$I$335,MATCH('Payment by Source'!$A301,'Budget by Source'!$A$6:$A$335,0),MATCH(S$3,'Budget by Source'!$A$5:$I$5,0))-(ROUND(INDEX('Budget by Source'!$A$6:$I$335,MATCH('Payment by Source'!$A301,'Budget by Source'!$A$6:$A$335,0),MATCH(S$3,'Budget by Source'!$A$5:$I$5,0))/10,0)*10)</f>
        <v>-1</v>
      </c>
      <c r="T301" s="158">
        <f>INDEX('Budget by Source'!$A$6:$I$335,MATCH('Payment by Source'!$A301,'Budget by Source'!$A$6:$A$335,0),MATCH(T$3,'Budget by Source'!$A$5:$I$5,0))-(ROUND(INDEX('Budget by Source'!$A$6:$I$335,MATCH('Payment by Source'!$A301,'Budget by Source'!$A$6:$A$335,0),MATCH(T$3,'Budget by Source'!$A$5:$I$5,0))/10,0)*10)</f>
        <v>-4</v>
      </c>
      <c r="U301" s="159">
        <f>INDEX('Budget by Source'!$A$6:$I$335,MATCH('Payment by Source'!$A301,'Budget by Source'!$A$6:$A$335,0),MATCH(U$3,'Budget by Source'!$A$5:$I$5,0))</f>
        <v>3118860</v>
      </c>
      <c r="V301" s="156">
        <f t="shared" si="13"/>
        <v>311886</v>
      </c>
      <c r="W301" s="156">
        <f t="shared" si="14"/>
        <v>3118860</v>
      </c>
    </row>
    <row r="302" spans="1:23" x14ac:dyDescent="0.2">
      <c r="A302" s="23" t="str">
        <f>Data!B298</f>
        <v>6651</v>
      </c>
      <c r="B302" s="21" t="str">
        <f>INDEX(Data[],MATCH($A302,Data[Dist],0),MATCH(B$5,Data[#Headers],0))</f>
        <v>Villisca</v>
      </c>
      <c r="C302" s="22">
        <f>IF(Notes!$B$2="June",ROUND('Budget by Source'!C302/10,0)+P302,ROUND('Budget by Source'!C302/10,0))</f>
        <v>4019</v>
      </c>
      <c r="D302" s="22">
        <f>IF(Notes!$B$2="June",ROUND('Budget by Source'!D302/10,0)+Q302,ROUND('Budget by Source'!D302/10,0))</f>
        <v>17881</v>
      </c>
      <c r="E302" s="22">
        <f>IF(Notes!$B$2="June",ROUND('Budget by Source'!E302/10,0)+R302,ROUND('Budget by Source'!E302/10,0))</f>
        <v>2190</v>
      </c>
      <c r="F302" s="22">
        <f>IF(Notes!$B$2="June",ROUND('Budget by Source'!F302/10,0)+S302,ROUND('Budget by Source'!F302/10,0))</f>
        <v>1924</v>
      </c>
      <c r="G302" s="22">
        <f>IF(Notes!$B$2="June",ROUND('Budget by Source'!G302/10,0)+T302,ROUND('Budget by Source'!G302/10,0))</f>
        <v>9831</v>
      </c>
      <c r="H302" s="22">
        <f t="shared" si="12"/>
        <v>125926</v>
      </c>
      <c r="I302" s="22">
        <f>INDEX(Data[],MATCH($A302,Data[Dist],0),MATCH(I$5,Data[#Headers],0))</f>
        <v>161771</v>
      </c>
      <c r="K302" s="70">
        <f>INDEX('Payment Total'!$A$7:$H$336,MATCH('Payment by Source'!$A302,'Payment Total'!$A$7:$A$336,0),6)-I302</f>
        <v>0</v>
      </c>
      <c r="P302" s="158">
        <f>INDEX('Budget by Source'!$A$6:$I$335,MATCH('Payment by Source'!$A302,'Budget by Source'!$A$6:$A$335,0),MATCH(P$3,'Budget by Source'!$A$5:$I$5,0))-(ROUND(INDEX('Budget by Source'!$A$6:$I$335,MATCH('Payment by Source'!$A302,'Budget by Source'!$A$6:$A$335,0),MATCH(P$3,'Budget by Source'!$A$5:$I$5,0))/10,0)*10)</f>
        <v>-3</v>
      </c>
      <c r="Q302" s="158">
        <f>INDEX('Budget by Source'!$A$6:$I$335,MATCH('Payment by Source'!$A302,'Budget by Source'!$A$6:$A$335,0),MATCH(Q$3,'Budget by Source'!$A$5:$I$5,0))-(ROUND(INDEX('Budget by Source'!$A$6:$I$335,MATCH('Payment by Source'!$A302,'Budget by Source'!$A$6:$A$335,0),MATCH(Q$3,'Budget by Source'!$A$5:$I$5,0))/10,0)*10)</f>
        <v>1</v>
      </c>
      <c r="R302" s="158">
        <f>INDEX('Budget by Source'!$A$6:$I$335,MATCH('Payment by Source'!$A302,'Budget by Source'!$A$6:$A$335,0),MATCH(R$3,'Budget by Source'!$A$5:$I$5,0))-(ROUND(INDEX('Budget by Source'!$A$6:$I$335,MATCH('Payment by Source'!$A302,'Budget by Source'!$A$6:$A$335,0),MATCH(R$3,'Budget by Source'!$A$5:$I$5,0))/10,0)*10)</f>
        <v>1</v>
      </c>
      <c r="S302" s="158">
        <f>INDEX('Budget by Source'!$A$6:$I$335,MATCH('Payment by Source'!$A302,'Budget by Source'!$A$6:$A$335,0),MATCH(S$3,'Budget by Source'!$A$5:$I$5,0))-(ROUND(INDEX('Budget by Source'!$A$6:$I$335,MATCH('Payment by Source'!$A302,'Budget by Source'!$A$6:$A$335,0),MATCH(S$3,'Budget by Source'!$A$5:$I$5,0))/10,0)*10)</f>
        <v>3</v>
      </c>
      <c r="T302" s="158">
        <f>INDEX('Budget by Source'!$A$6:$I$335,MATCH('Payment by Source'!$A302,'Budget by Source'!$A$6:$A$335,0),MATCH(T$3,'Budget by Source'!$A$5:$I$5,0))-(ROUND(INDEX('Budget by Source'!$A$6:$I$335,MATCH('Payment by Source'!$A302,'Budget by Source'!$A$6:$A$335,0),MATCH(T$3,'Budget by Source'!$A$5:$I$5,0))/10,0)*10)</f>
        <v>4</v>
      </c>
      <c r="U302" s="159">
        <f>INDEX('Budget by Source'!$A$6:$I$335,MATCH('Payment by Source'!$A302,'Budget by Source'!$A$6:$A$335,0),MATCH(U$3,'Budget by Source'!$A$5:$I$5,0))</f>
        <v>1264292</v>
      </c>
      <c r="V302" s="156">
        <f t="shared" si="13"/>
        <v>126429</v>
      </c>
      <c r="W302" s="156">
        <f t="shared" si="14"/>
        <v>1264290</v>
      </c>
    </row>
    <row r="303" spans="1:23" x14ac:dyDescent="0.2">
      <c r="A303" s="23" t="str">
        <f>Data!B299</f>
        <v>6660</v>
      </c>
      <c r="B303" s="21" t="str">
        <f>INDEX(Data[],MATCH($A303,Data[Dist],0),MATCH(B$5,Data[#Headers],0))</f>
        <v>Vinton-Shellsburg</v>
      </c>
      <c r="C303" s="22">
        <f>IF(Notes!$B$2="June",ROUND('Budget by Source'!C303/10,0)+P303,ROUND('Budget by Source'!C303/10,0))</f>
        <v>19440</v>
      </c>
      <c r="D303" s="22">
        <f>IF(Notes!$B$2="June",ROUND('Budget by Source'!D303/10,0)+Q303,ROUND('Budget by Source'!D303/10,0))</f>
        <v>92913</v>
      </c>
      <c r="E303" s="22">
        <f>IF(Notes!$B$2="June",ROUND('Budget by Source'!E303/10,0)+R303,ROUND('Budget by Source'!E303/10,0))</f>
        <v>10096</v>
      </c>
      <c r="F303" s="22">
        <f>IF(Notes!$B$2="June",ROUND('Budget by Source'!F303/10,0)+S303,ROUND('Budget by Source'!F303/10,0))</f>
        <v>10452</v>
      </c>
      <c r="G303" s="22">
        <f>IF(Notes!$B$2="June",ROUND('Budget by Source'!G303/10,0)+T303,ROUND('Budget by Source'!G303/10,0))</f>
        <v>50408</v>
      </c>
      <c r="H303" s="22">
        <f t="shared" si="12"/>
        <v>754575</v>
      </c>
      <c r="I303" s="22">
        <f>INDEX(Data[],MATCH($A303,Data[Dist],0),MATCH(I$5,Data[#Headers],0))</f>
        <v>937884</v>
      </c>
      <c r="K303" s="70">
        <f>INDEX('Payment Total'!$A$7:$H$336,MATCH('Payment by Source'!$A303,'Payment Total'!$A$7:$A$336,0),6)-I303</f>
        <v>0</v>
      </c>
      <c r="P303" s="158">
        <f>INDEX('Budget by Source'!$A$6:$I$335,MATCH('Payment by Source'!$A303,'Budget by Source'!$A$6:$A$335,0),MATCH(P$3,'Budget by Source'!$A$5:$I$5,0))-(ROUND(INDEX('Budget by Source'!$A$6:$I$335,MATCH('Payment by Source'!$A303,'Budget by Source'!$A$6:$A$335,0),MATCH(P$3,'Budget by Source'!$A$5:$I$5,0))/10,0)*10)</f>
        <v>2</v>
      </c>
      <c r="Q303" s="158">
        <f>INDEX('Budget by Source'!$A$6:$I$335,MATCH('Payment by Source'!$A303,'Budget by Source'!$A$6:$A$335,0),MATCH(Q$3,'Budget by Source'!$A$5:$I$5,0))-(ROUND(INDEX('Budget by Source'!$A$6:$I$335,MATCH('Payment by Source'!$A303,'Budget by Source'!$A$6:$A$335,0),MATCH(Q$3,'Budget by Source'!$A$5:$I$5,0))/10,0)*10)</f>
        <v>-2</v>
      </c>
      <c r="R303" s="158">
        <f>INDEX('Budget by Source'!$A$6:$I$335,MATCH('Payment by Source'!$A303,'Budget by Source'!$A$6:$A$335,0),MATCH(R$3,'Budget by Source'!$A$5:$I$5,0))-(ROUND(INDEX('Budget by Source'!$A$6:$I$335,MATCH('Payment by Source'!$A303,'Budget by Source'!$A$6:$A$335,0),MATCH(R$3,'Budget by Source'!$A$5:$I$5,0))/10,0)*10)</f>
        <v>-2</v>
      </c>
      <c r="S303" s="158">
        <f>INDEX('Budget by Source'!$A$6:$I$335,MATCH('Payment by Source'!$A303,'Budget by Source'!$A$6:$A$335,0),MATCH(S$3,'Budget by Source'!$A$5:$I$5,0))-(ROUND(INDEX('Budget by Source'!$A$6:$I$335,MATCH('Payment by Source'!$A303,'Budget by Source'!$A$6:$A$335,0),MATCH(S$3,'Budget by Source'!$A$5:$I$5,0))/10,0)*10)</f>
        <v>-1</v>
      </c>
      <c r="T303" s="158">
        <f>INDEX('Budget by Source'!$A$6:$I$335,MATCH('Payment by Source'!$A303,'Budget by Source'!$A$6:$A$335,0),MATCH(T$3,'Budget by Source'!$A$5:$I$5,0))-(ROUND(INDEX('Budget by Source'!$A$6:$I$335,MATCH('Payment by Source'!$A303,'Budget by Source'!$A$6:$A$335,0),MATCH(T$3,'Budget by Source'!$A$5:$I$5,0))/10,0)*10)</f>
        <v>-4</v>
      </c>
      <c r="U303" s="159">
        <f>INDEX('Budget by Source'!$A$6:$I$335,MATCH('Payment by Source'!$A303,'Budget by Source'!$A$6:$A$335,0),MATCH(U$3,'Budget by Source'!$A$5:$I$5,0))</f>
        <v>7571408</v>
      </c>
      <c r="V303" s="156">
        <f t="shared" si="13"/>
        <v>757141</v>
      </c>
      <c r="W303" s="156">
        <f t="shared" si="14"/>
        <v>7571410</v>
      </c>
    </row>
    <row r="304" spans="1:23" x14ac:dyDescent="0.2">
      <c r="A304" s="23" t="str">
        <f>Data!B300</f>
        <v>6700</v>
      </c>
      <c r="B304" s="21" t="str">
        <f>INDEX(Data[],MATCH($A304,Data[Dist],0),MATCH(B$5,Data[#Headers],0))</f>
        <v>Waco</v>
      </c>
      <c r="C304" s="22">
        <f>IF(Notes!$B$2="June",ROUND('Budget by Source'!C304/10,0)+P304,ROUND('Budget by Source'!C304/10,0))</f>
        <v>13066</v>
      </c>
      <c r="D304" s="22">
        <f>IF(Notes!$B$2="June",ROUND('Budget by Source'!D304/10,0)+Q304,ROUND('Budget by Source'!D304/10,0))</f>
        <v>31335</v>
      </c>
      <c r="E304" s="22">
        <f>IF(Notes!$B$2="June",ROUND('Budget by Source'!E304/10,0)+R304,ROUND('Budget by Source'!E304/10,0))</f>
        <v>3370</v>
      </c>
      <c r="F304" s="22">
        <f>IF(Notes!$B$2="June",ROUND('Budget by Source'!F304/10,0)+S304,ROUND('Budget by Source'!F304/10,0))</f>
        <v>3353</v>
      </c>
      <c r="G304" s="22">
        <f>IF(Notes!$B$2="June",ROUND('Budget by Source'!G304/10,0)+T304,ROUND('Budget by Source'!G304/10,0))</f>
        <v>15666</v>
      </c>
      <c r="H304" s="22">
        <f t="shared" si="12"/>
        <v>244755</v>
      </c>
      <c r="I304" s="22">
        <f>INDEX(Data[],MATCH($A304,Data[Dist],0),MATCH(I$5,Data[#Headers],0))</f>
        <v>311545</v>
      </c>
      <c r="K304" s="70">
        <f>INDEX('Payment Total'!$A$7:$H$336,MATCH('Payment by Source'!$A304,'Payment Total'!$A$7:$A$336,0),6)-I304</f>
        <v>0</v>
      </c>
      <c r="P304" s="158">
        <f>INDEX('Budget by Source'!$A$6:$I$335,MATCH('Payment by Source'!$A304,'Budget by Source'!$A$6:$A$335,0),MATCH(P$3,'Budget by Source'!$A$5:$I$5,0))-(ROUND(INDEX('Budget by Source'!$A$6:$I$335,MATCH('Payment by Source'!$A304,'Budget by Source'!$A$6:$A$335,0),MATCH(P$3,'Budget by Source'!$A$5:$I$5,0))/10,0)*10)</f>
        <v>-5</v>
      </c>
      <c r="Q304" s="158">
        <f>INDEX('Budget by Source'!$A$6:$I$335,MATCH('Payment by Source'!$A304,'Budget by Source'!$A$6:$A$335,0),MATCH(Q$3,'Budget by Source'!$A$5:$I$5,0))-(ROUND(INDEX('Budget by Source'!$A$6:$I$335,MATCH('Payment by Source'!$A304,'Budget by Source'!$A$6:$A$335,0),MATCH(Q$3,'Budget by Source'!$A$5:$I$5,0))/10,0)*10)</f>
        <v>2</v>
      </c>
      <c r="R304" s="158">
        <f>INDEX('Budget by Source'!$A$6:$I$335,MATCH('Payment by Source'!$A304,'Budget by Source'!$A$6:$A$335,0),MATCH(R$3,'Budget by Source'!$A$5:$I$5,0))-(ROUND(INDEX('Budget by Source'!$A$6:$I$335,MATCH('Payment by Source'!$A304,'Budget by Source'!$A$6:$A$335,0),MATCH(R$3,'Budget by Source'!$A$5:$I$5,0))/10,0)*10)</f>
        <v>-2</v>
      </c>
      <c r="S304" s="158">
        <f>INDEX('Budget by Source'!$A$6:$I$335,MATCH('Payment by Source'!$A304,'Budget by Source'!$A$6:$A$335,0),MATCH(S$3,'Budget by Source'!$A$5:$I$5,0))-(ROUND(INDEX('Budget by Source'!$A$6:$I$335,MATCH('Payment by Source'!$A304,'Budget by Source'!$A$6:$A$335,0),MATCH(S$3,'Budget by Source'!$A$5:$I$5,0))/10,0)*10)</f>
        <v>1</v>
      </c>
      <c r="T304" s="158">
        <f>INDEX('Budget by Source'!$A$6:$I$335,MATCH('Payment by Source'!$A304,'Budget by Source'!$A$6:$A$335,0),MATCH(T$3,'Budget by Source'!$A$5:$I$5,0))-(ROUND(INDEX('Budget by Source'!$A$6:$I$335,MATCH('Payment by Source'!$A304,'Budget by Source'!$A$6:$A$335,0),MATCH(T$3,'Budget by Source'!$A$5:$I$5,0))/10,0)*10)</f>
        <v>-3</v>
      </c>
      <c r="U304" s="159">
        <f>INDEX('Budget by Source'!$A$6:$I$335,MATCH('Payment by Source'!$A304,'Budget by Source'!$A$6:$A$335,0),MATCH(U$3,'Budget by Source'!$A$5:$I$5,0))</f>
        <v>2455497</v>
      </c>
      <c r="V304" s="156">
        <f t="shared" si="13"/>
        <v>245550</v>
      </c>
      <c r="W304" s="156">
        <f t="shared" si="14"/>
        <v>2455500</v>
      </c>
    </row>
    <row r="305" spans="1:23" x14ac:dyDescent="0.2">
      <c r="A305" s="23" t="str">
        <f>Data!B301</f>
        <v>6741</v>
      </c>
      <c r="B305" s="21" t="str">
        <f>INDEX(Data[],MATCH($A305,Data[Dist],0),MATCH(B$5,Data[#Headers],0))</f>
        <v>East Sac County</v>
      </c>
      <c r="C305" s="22">
        <f>IF(Notes!$B$2="June",ROUND('Budget by Source'!C305/10,0)+P305,ROUND('Budget by Source'!C305/10,0))</f>
        <v>19104</v>
      </c>
      <c r="D305" s="22">
        <f>IF(Notes!$B$2="June",ROUND('Budget by Source'!D305/10,0)+Q305,ROUND('Budget by Source'!D305/10,0))</f>
        <v>53379</v>
      </c>
      <c r="E305" s="22">
        <f>IF(Notes!$B$2="June",ROUND('Budget by Source'!E305/10,0)+R305,ROUND('Budget by Source'!E305/10,0))</f>
        <v>6123</v>
      </c>
      <c r="F305" s="22">
        <f>IF(Notes!$B$2="June",ROUND('Budget by Source'!F305/10,0)+S305,ROUND('Budget by Source'!F305/10,0))</f>
        <v>5637</v>
      </c>
      <c r="G305" s="22">
        <f>IF(Notes!$B$2="June",ROUND('Budget by Source'!G305/10,0)+T305,ROUND('Budget by Source'!G305/10,0))</f>
        <v>28143</v>
      </c>
      <c r="H305" s="22">
        <f t="shared" si="12"/>
        <v>324752</v>
      </c>
      <c r="I305" s="22">
        <f>INDEX(Data[],MATCH($A305,Data[Dist],0),MATCH(I$5,Data[#Headers],0))</f>
        <v>437138</v>
      </c>
      <c r="K305" s="70">
        <f>INDEX('Payment Total'!$A$7:$H$336,MATCH('Payment by Source'!$A305,'Payment Total'!$A$7:$A$336,0),6)-I305</f>
        <v>0</v>
      </c>
      <c r="P305" s="158">
        <f>INDEX('Budget by Source'!$A$6:$I$335,MATCH('Payment by Source'!$A305,'Budget by Source'!$A$6:$A$335,0),MATCH(P$3,'Budget by Source'!$A$5:$I$5,0))-(ROUND(INDEX('Budget by Source'!$A$6:$I$335,MATCH('Payment by Source'!$A305,'Budget by Source'!$A$6:$A$335,0),MATCH(P$3,'Budget by Source'!$A$5:$I$5,0))/10,0)*10)</f>
        <v>1</v>
      </c>
      <c r="Q305" s="158">
        <f>INDEX('Budget by Source'!$A$6:$I$335,MATCH('Payment by Source'!$A305,'Budget by Source'!$A$6:$A$335,0),MATCH(Q$3,'Budget by Source'!$A$5:$I$5,0))-(ROUND(INDEX('Budget by Source'!$A$6:$I$335,MATCH('Payment by Source'!$A305,'Budget by Source'!$A$6:$A$335,0),MATCH(Q$3,'Budget by Source'!$A$5:$I$5,0))/10,0)*10)</f>
        <v>-5</v>
      </c>
      <c r="R305" s="158">
        <f>INDEX('Budget by Source'!$A$6:$I$335,MATCH('Payment by Source'!$A305,'Budget by Source'!$A$6:$A$335,0),MATCH(R$3,'Budget by Source'!$A$5:$I$5,0))-(ROUND(INDEX('Budget by Source'!$A$6:$I$335,MATCH('Payment by Source'!$A305,'Budget by Source'!$A$6:$A$335,0),MATCH(R$3,'Budget by Source'!$A$5:$I$5,0))/10,0)*10)</f>
        <v>4</v>
      </c>
      <c r="S305" s="158">
        <f>INDEX('Budget by Source'!$A$6:$I$335,MATCH('Payment by Source'!$A305,'Budget by Source'!$A$6:$A$335,0),MATCH(S$3,'Budget by Source'!$A$5:$I$5,0))-(ROUND(INDEX('Budget by Source'!$A$6:$I$335,MATCH('Payment by Source'!$A305,'Budget by Source'!$A$6:$A$335,0),MATCH(S$3,'Budget by Source'!$A$5:$I$5,0))/10,0)*10)</f>
        <v>-3</v>
      </c>
      <c r="T305" s="158">
        <f>INDEX('Budget by Source'!$A$6:$I$335,MATCH('Payment by Source'!$A305,'Budget by Source'!$A$6:$A$335,0),MATCH(T$3,'Budget by Source'!$A$5:$I$5,0))-(ROUND(INDEX('Budget by Source'!$A$6:$I$335,MATCH('Payment by Source'!$A305,'Budget by Source'!$A$6:$A$335,0),MATCH(T$3,'Budget by Source'!$A$5:$I$5,0))/10,0)*10)</f>
        <v>-1</v>
      </c>
      <c r="U305" s="159">
        <f>INDEX('Budget by Source'!$A$6:$I$335,MATCH('Payment by Source'!$A305,'Budget by Source'!$A$6:$A$335,0),MATCH(U$3,'Budget by Source'!$A$5:$I$5,0))</f>
        <v>3338234</v>
      </c>
      <c r="V305" s="156">
        <f t="shared" si="13"/>
        <v>333823</v>
      </c>
      <c r="W305" s="156">
        <f t="shared" si="14"/>
        <v>3338230</v>
      </c>
    </row>
    <row r="306" spans="1:23" x14ac:dyDescent="0.2">
      <c r="A306" s="23" t="str">
        <f>Data!B302</f>
        <v>6759</v>
      </c>
      <c r="B306" s="21" t="str">
        <f>INDEX(Data[],MATCH($A306,Data[Dist],0),MATCH(B$5,Data[#Headers],0))</f>
        <v>Wapello</v>
      </c>
      <c r="C306" s="22">
        <f>IF(Notes!$B$2="June",ROUND('Budget by Source'!C306/10,0)+P306,ROUND('Budget by Source'!C306/10,0))</f>
        <v>11730</v>
      </c>
      <c r="D306" s="22">
        <f>IF(Notes!$B$2="June",ROUND('Budget by Source'!D306/10,0)+Q306,ROUND('Budget by Source'!D306/10,0))</f>
        <v>39352</v>
      </c>
      <c r="E306" s="22">
        <f>IF(Notes!$B$2="June",ROUND('Budget by Source'!E306/10,0)+R306,ROUND('Budget by Source'!E306/10,0))</f>
        <v>4906</v>
      </c>
      <c r="F306" s="22">
        <f>IF(Notes!$B$2="June",ROUND('Budget by Source'!F306/10,0)+S306,ROUND('Budget by Source'!F306/10,0))</f>
        <v>4074</v>
      </c>
      <c r="G306" s="22">
        <f>IF(Notes!$B$2="June",ROUND('Budget by Source'!G306/10,0)+T306,ROUND('Budget by Source'!G306/10,0))</f>
        <v>20885</v>
      </c>
      <c r="H306" s="22">
        <f t="shared" si="12"/>
        <v>319481</v>
      </c>
      <c r="I306" s="22">
        <f>INDEX(Data[],MATCH($A306,Data[Dist],0),MATCH(I$5,Data[#Headers],0))</f>
        <v>400428</v>
      </c>
      <c r="K306" s="70">
        <f>INDEX('Payment Total'!$A$7:$H$336,MATCH('Payment by Source'!$A306,'Payment Total'!$A$7:$A$336,0),6)-I306</f>
        <v>0</v>
      </c>
      <c r="P306" s="158">
        <f>INDEX('Budget by Source'!$A$6:$I$335,MATCH('Payment by Source'!$A306,'Budget by Source'!$A$6:$A$335,0),MATCH(P$3,'Budget by Source'!$A$5:$I$5,0))-(ROUND(INDEX('Budget by Source'!$A$6:$I$335,MATCH('Payment by Source'!$A306,'Budget by Source'!$A$6:$A$335,0),MATCH(P$3,'Budget by Source'!$A$5:$I$5,0))/10,0)*10)</f>
        <v>0</v>
      </c>
      <c r="Q306" s="158">
        <f>INDEX('Budget by Source'!$A$6:$I$335,MATCH('Payment by Source'!$A306,'Budget by Source'!$A$6:$A$335,0),MATCH(Q$3,'Budget by Source'!$A$5:$I$5,0))-(ROUND(INDEX('Budget by Source'!$A$6:$I$335,MATCH('Payment by Source'!$A306,'Budget by Source'!$A$6:$A$335,0),MATCH(Q$3,'Budget by Source'!$A$5:$I$5,0))/10,0)*10)</f>
        <v>1</v>
      </c>
      <c r="R306" s="158">
        <f>INDEX('Budget by Source'!$A$6:$I$335,MATCH('Payment by Source'!$A306,'Budget by Source'!$A$6:$A$335,0),MATCH(R$3,'Budget by Source'!$A$5:$I$5,0))-(ROUND(INDEX('Budget by Source'!$A$6:$I$335,MATCH('Payment by Source'!$A306,'Budget by Source'!$A$6:$A$335,0),MATCH(R$3,'Budget by Source'!$A$5:$I$5,0))/10,0)*10)</f>
        <v>1</v>
      </c>
      <c r="S306" s="158">
        <f>INDEX('Budget by Source'!$A$6:$I$335,MATCH('Payment by Source'!$A306,'Budget by Source'!$A$6:$A$335,0),MATCH(S$3,'Budget by Source'!$A$5:$I$5,0))-(ROUND(INDEX('Budget by Source'!$A$6:$I$335,MATCH('Payment by Source'!$A306,'Budget by Source'!$A$6:$A$335,0),MATCH(S$3,'Budget by Source'!$A$5:$I$5,0))/10,0)*10)</f>
        <v>4</v>
      </c>
      <c r="T306" s="158">
        <f>INDEX('Budget by Source'!$A$6:$I$335,MATCH('Payment by Source'!$A306,'Budget by Source'!$A$6:$A$335,0),MATCH(T$3,'Budget by Source'!$A$5:$I$5,0))-(ROUND(INDEX('Budget by Source'!$A$6:$I$335,MATCH('Payment by Source'!$A306,'Budget by Source'!$A$6:$A$335,0),MATCH(T$3,'Budget by Source'!$A$5:$I$5,0))/10,0)*10)</f>
        <v>2</v>
      </c>
      <c r="U306" s="159">
        <f>INDEX('Budget by Source'!$A$6:$I$335,MATCH('Payment by Source'!$A306,'Budget by Source'!$A$6:$A$335,0),MATCH(U$3,'Budget by Source'!$A$5:$I$5,0))</f>
        <v>3205174</v>
      </c>
      <c r="V306" s="156">
        <f t="shared" si="13"/>
        <v>320517</v>
      </c>
      <c r="W306" s="156">
        <f t="shared" si="14"/>
        <v>3205170</v>
      </c>
    </row>
    <row r="307" spans="1:23" x14ac:dyDescent="0.2">
      <c r="A307" s="23" t="str">
        <f>Data!B303</f>
        <v>6762</v>
      </c>
      <c r="B307" s="21" t="str">
        <f>INDEX(Data[],MATCH($A307,Data[Dist],0),MATCH(B$5,Data[#Headers],0))</f>
        <v>Wapsie Valley</v>
      </c>
      <c r="C307" s="22">
        <f>IF(Notes!$B$2="June",ROUND('Budget by Source'!C307/10,0)+P307,ROUND('Budget by Source'!C307/10,0))</f>
        <v>11393</v>
      </c>
      <c r="D307" s="22">
        <f>IF(Notes!$B$2="June",ROUND('Budget by Source'!D307/10,0)+Q307,ROUND('Budget by Source'!D307/10,0))</f>
        <v>42893</v>
      </c>
      <c r="E307" s="22">
        <f>IF(Notes!$B$2="June",ROUND('Budget by Source'!E307/10,0)+R307,ROUND('Budget by Source'!E307/10,0))</f>
        <v>4661</v>
      </c>
      <c r="F307" s="22">
        <f>IF(Notes!$B$2="June",ROUND('Budget by Source'!F307/10,0)+S307,ROUND('Budget by Source'!F307/10,0))</f>
        <v>4429</v>
      </c>
      <c r="G307" s="22">
        <f>IF(Notes!$B$2="June",ROUND('Budget by Source'!G307/10,0)+T307,ROUND('Budget by Source'!G307/10,0))</f>
        <v>22204</v>
      </c>
      <c r="H307" s="22">
        <f t="shared" si="12"/>
        <v>333704</v>
      </c>
      <c r="I307" s="22">
        <f>INDEX(Data[],MATCH($A307,Data[Dist],0),MATCH(I$5,Data[#Headers],0))</f>
        <v>419284</v>
      </c>
      <c r="K307" s="70">
        <f>INDEX('Payment Total'!$A$7:$H$336,MATCH('Payment by Source'!$A307,'Payment Total'!$A$7:$A$336,0),6)-I307</f>
        <v>0</v>
      </c>
      <c r="P307" s="158">
        <f>INDEX('Budget by Source'!$A$6:$I$335,MATCH('Payment by Source'!$A307,'Budget by Source'!$A$6:$A$335,0),MATCH(P$3,'Budget by Source'!$A$5:$I$5,0))-(ROUND(INDEX('Budget by Source'!$A$6:$I$335,MATCH('Payment by Source'!$A307,'Budget by Source'!$A$6:$A$335,0),MATCH(P$3,'Budget by Source'!$A$5:$I$5,0))/10,0)*10)</f>
        <v>-2</v>
      </c>
      <c r="Q307" s="158">
        <f>INDEX('Budget by Source'!$A$6:$I$335,MATCH('Payment by Source'!$A307,'Budget by Source'!$A$6:$A$335,0),MATCH(Q$3,'Budget by Source'!$A$5:$I$5,0))-(ROUND(INDEX('Budget by Source'!$A$6:$I$335,MATCH('Payment by Source'!$A307,'Budget by Source'!$A$6:$A$335,0),MATCH(Q$3,'Budget by Source'!$A$5:$I$5,0))/10,0)*10)</f>
        <v>-5</v>
      </c>
      <c r="R307" s="158">
        <f>INDEX('Budget by Source'!$A$6:$I$335,MATCH('Payment by Source'!$A307,'Budget by Source'!$A$6:$A$335,0),MATCH(R$3,'Budget by Source'!$A$5:$I$5,0))-(ROUND(INDEX('Budget by Source'!$A$6:$I$335,MATCH('Payment by Source'!$A307,'Budget by Source'!$A$6:$A$335,0),MATCH(R$3,'Budget by Source'!$A$5:$I$5,0))/10,0)*10)</f>
        <v>-5</v>
      </c>
      <c r="S307" s="158">
        <f>INDEX('Budget by Source'!$A$6:$I$335,MATCH('Payment by Source'!$A307,'Budget by Source'!$A$6:$A$335,0),MATCH(S$3,'Budget by Source'!$A$5:$I$5,0))-(ROUND(INDEX('Budget by Source'!$A$6:$I$335,MATCH('Payment by Source'!$A307,'Budget by Source'!$A$6:$A$335,0),MATCH(S$3,'Budget by Source'!$A$5:$I$5,0))/10,0)*10)</f>
        <v>-2</v>
      </c>
      <c r="T307" s="158">
        <f>INDEX('Budget by Source'!$A$6:$I$335,MATCH('Payment by Source'!$A307,'Budget by Source'!$A$6:$A$335,0),MATCH(T$3,'Budget by Source'!$A$5:$I$5,0))-(ROUND(INDEX('Budget by Source'!$A$6:$I$335,MATCH('Payment by Source'!$A307,'Budget by Source'!$A$6:$A$335,0),MATCH(T$3,'Budget by Source'!$A$5:$I$5,0))/10,0)*10)</f>
        <v>-5</v>
      </c>
      <c r="U307" s="159">
        <f>INDEX('Budget by Source'!$A$6:$I$335,MATCH('Payment by Source'!$A307,'Budget by Source'!$A$6:$A$335,0),MATCH(U$3,'Budget by Source'!$A$5:$I$5,0))</f>
        <v>3348206</v>
      </c>
      <c r="V307" s="156">
        <f t="shared" si="13"/>
        <v>334821</v>
      </c>
      <c r="W307" s="156">
        <f t="shared" si="14"/>
        <v>3348210</v>
      </c>
    </row>
    <row r="308" spans="1:23" x14ac:dyDescent="0.2">
      <c r="A308" s="23" t="str">
        <f>Data!B304</f>
        <v>6768</v>
      </c>
      <c r="B308" s="21" t="str">
        <f>INDEX(Data[],MATCH($A308,Data[Dist],0),MATCH(B$5,Data[#Headers],0))</f>
        <v>Washington</v>
      </c>
      <c r="C308" s="22">
        <f>IF(Notes!$B$2="June",ROUND('Budget by Source'!C308/10,0)+P308,ROUND('Budget by Source'!C308/10,0))</f>
        <v>34852</v>
      </c>
      <c r="D308" s="22">
        <f>IF(Notes!$B$2="June",ROUND('Budget by Source'!D308/10,0)+Q308,ROUND('Budget by Source'!D308/10,0))</f>
        <v>103537</v>
      </c>
      <c r="E308" s="22">
        <f>IF(Notes!$B$2="June",ROUND('Budget by Source'!E308/10,0)+R308,ROUND('Budget by Source'!E308/10,0))</f>
        <v>12740</v>
      </c>
      <c r="F308" s="22">
        <f>IF(Notes!$B$2="June",ROUND('Budget by Source'!F308/10,0)+S308,ROUND('Budget by Source'!F308/10,0))</f>
        <v>11466</v>
      </c>
      <c r="G308" s="22">
        <f>IF(Notes!$B$2="June",ROUND('Budget by Source'!G308/10,0)+T308,ROUND('Budget by Source'!G308/10,0))</f>
        <v>58055</v>
      </c>
      <c r="H308" s="22">
        <f t="shared" si="12"/>
        <v>967259</v>
      </c>
      <c r="I308" s="22">
        <f>INDEX(Data[],MATCH($A308,Data[Dist],0),MATCH(I$5,Data[#Headers],0))</f>
        <v>1187909</v>
      </c>
      <c r="K308" s="70">
        <f>INDEX('Payment Total'!$A$7:$H$336,MATCH('Payment by Source'!$A308,'Payment Total'!$A$7:$A$336,0),6)-I308</f>
        <v>0</v>
      </c>
      <c r="P308" s="158">
        <f>INDEX('Budget by Source'!$A$6:$I$335,MATCH('Payment by Source'!$A308,'Budget by Source'!$A$6:$A$335,0),MATCH(P$3,'Budget by Source'!$A$5:$I$5,0))-(ROUND(INDEX('Budget by Source'!$A$6:$I$335,MATCH('Payment by Source'!$A308,'Budget by Source'!$A$6:$A$335,0),MATCH(P$3,'Budget by Source'!$A$5:$I$5,0))/10,0)*10)</f>
        <v>-3</v>
      </c>
      <c r="Q308" s="158">
        <f>INDEX('Budget by Source'!$A$6:$I$335,MATCH('Payment by Source'!$A308,'Budget by Source'!$A$6:$A$335,0),MATCH(Q$3,'Budget by Source'!$A$5:$I$5,0))-(ROUND(INDEX('Budget by Source'!$A$6:$I$335,MATCH('Payment by Source'!$A308,'Budget by Source'!$A$6:$A$335,0),MATCH(Q$3,'Budget by Source'!$A$5:$I$5,0))/10,0)*10)</f>
        <v>-2</v>
      </c>
      <c r="R308" s="158">
        <f>INDEX('Budget by Source'!$A$6:$I$335,MATCH('Payment by Source'!$A308,'Budget by Source'!$A$6:$A$335,0),MATCH(R$3,'Budget by Source'!$A$5:$I$5,0))-(ROUND(INDEX('Budget by Source'!$A$6:$I$335,MATCH('Payment by Source'!$A308,'Budget by Source'!$A$6:$A$335,0),MATCH(R$3,'Budget by Source'!$A$5:$I$5,0))/10,0)*10)</f>
        <v>-4</v>
      </c>
      <c r="S308" s="158">
        <f>INDEX('Budget by Source'!$A$6:$I$335,MATCH('Payment by Source'!$A308,'Budget by Source'!$A$6:$A$335,0),MATCH(S$3,'Budget by Source'!$A$5:$I$5,0))-(ROUND(INDEX('Budget by Source'!$A$6:$I$335,MATCH('Payment by Source'!$A308,'Budget by Source'!$A$6:$A$335,0),MATCH(S$3,'Budget by Source'!$A$5:$I$5,0))/10,0)*10)</f>
        <v>-5</v>
      </c>
      <c r="T308" s="158">
        <f>INDEX('Budget by Source'!$A$6:$I$335,MATCH('Payment by Source'!$A308,'Budget by Source'!$A$6:$A$335,0),MATCH(T$3,'Budget by Source'!$A$5:$I$5,0))-(ROUND(INDEX('Budget by Source'!$A$6:$I$335,MATCH('Payment by Source'!$A308,'Budget by Source'!$A$6:$A$335,0),MATCH(T$3,'Budget by Source'!$A$5:$I$5,0))/10,0)*10)</f>
        <v>0</v>
      </c>
      <c r="U308" s="159">
        <f>INDEX('Budget by Source'!$A$6:$I$335,MATCH('Payment by Source'!$A308,'Budget by Source'!$A$6:$A$335,0),MATCH(U$3,'Budget by Source'!$A$5:$I$5,0))</f>
        <v>9702081</v>
      </c>
      <c r="V308" s="156">
        <f t="shared" si="13"/>
        <v>970208</v>
      </c>
      <c r="W308" s="156">
        <f t="shared" si="14"/>
        <v>9702080</v>
      </c>
    </row>
    <row r="309" spans="1:23" x14ac:dyDescent="0.2">
      <c r="A309" s="23" t="str">
        <f>Data!B305</f>
        <v>6795</v>
      </c>
      <c r="B309" s="21" t="str">
        <f>INDEX(Data[],MATCH($A309,Data[Dist],0),MATCH(B$5,Data[#Headers],0))</f>
        <v>Waterloo</v>
      </c>
      <c r="C309" s="22">
        <f>IF(Notes!$B$2="June",ROUND('Budget by Source'!C309/10,0)+P309,ROUND('Budget by Source'!C309/10,0))</f>
        <v>193373</v>
      </c>
      <c r="D309" s="22">
        <f>IF(Notes!$B$2="June",ROUND('Budget by Source'!D309/10,0)+Q309,ROUND('Budget by Source'!D309/10,0))</f>
        <v>620253</v>
      </c>
      <c r="E309" s="22">
        <f>IF(Notes!$B$2="June",ROUND('Budget by Source'!E309/10,0)+R309,ROUND('Budget by Source'!E309/10,0))</f>
        <v>86287</v>
      </c>
      <c r="F309" s="22">
        <f>IF(Notes!$B$2="June",ROUND('Budget by Source'!F309/10,0)+S309,ROUND('Budget by Source'!F309/10,0))</f>
        <v>67560</v>
      </c>
      <c r="G309" s="22">
        <f>IF(Notes!$B$2="June",ROUND('Budget by Source'!G309/10,0)+T309,ROUND('Budget by Source'!G309/10,0))</f>
        <v>355191</v>
      </c>
      <c r="H309" s="22">
        <f t="shared" si="12"/>
        <v>6463194</v>
      </c>
      <c r="I309" s="22">
        <f>INDEX(Data[],MATCH($A309,Data[Dist],0),MATCH(I$5,Data[#Headers],0))</f>
        <v>7785858</v>
      </c>
      <c r="K309" s="70">
        <f>INDEX('Payment Total'!$A$7:$H$336,MATCH('Payment by Source'!$A309,'Payment Total'!$A$7:$A$336,0),6)-I309</f>
        <v>0</v>
      </c>
      <c r="P309" s="158">
        <f>INDEX('Budget by Source'!$A$6:$I$335,MATCH('Payment by Source'!$A309,'Budget by Source'!$A$6:$A$335,0),MATCH(P$3,'Budget by Source'!$A$5:$I$5,0))-(ROUND(INDEX('Budget by Source'!$A$6:$I$335,MATCH('Payment by Source'!$A309,'Budget by Source'!$A$6:$A$335,0),MATCH(P$3,'Budget by Source'!$A$5:$I$5,0))/10,0)*10)</f>
        <v>-4</v>
      </c>
      <c r="Q309" s="158">
        <f>INDEX('Budget by Source'!$A$6:$I$335,MATCH('Payment by Source'!$A309,'Budget by Source'!$A$6:$A$335,0),MATCH(Q$3,'Budget by Source'!$A$5:$I$5,0))-(ROUND(INDEX('Budget by Source'!$A$6:$I$335,MATCH('Payment by Source'!$A309,'Budget by Source'!$A$6:$A$335,0),MATCH(Q$3,'Budget by Source'!$A$5:$I$5,0))/10,0)*10)</f>
        <v>-2</v>
      </c>
      <c r="R309" s="158">
        <f>INDEX('Budget by Source'!$A$6:$I$335,MATCH('Payment by Source'!$A309,'Budget by Source'!$A$6:$A$335,0),MATCH(R$3,'Budget by Source'!$A$5:$I$5,0))-(ROUND(INDEX('Budget by Source'!$A$6:$I$335,MATCH('Payment by Source'!$A309,'Budget by Source'!$A$6:$A$335,0),MATCH(R$3,'Budget by Source'!$A$5:$I$5,0))/10,0)*10)</f>
        <v>-4</v>
      </c>
      <c r="S309" s="158">
        <f>INDEX('Budget by Source'!$A$6:$I$335,MATCH('Payment by Source'!$A309,'Budget by Source'!$A$6:$A$335,0),MATCH(S$3,'Budget by Source'!$A$5:$I$5,0))-(ROUND(INDEX('Budget by Source'!$A$6:$I$335,MATCH('Payment by Source'!$A309,'Budget by Source'!$A$6:$A$335,0),MATCH(S$3,'Budget by Source'!$A$5:$I$5,0))/10,0)*10)</f>
        <v>3</v>
      </c>
      <c r="T309" s="158">
        <f>INDEX('Budget by Source'!$A$6:$I$335,MATCH('Payment by Source'!$A309,'Budget by Source'!$A$6:$A$335,0),MATCH(T$3,'Budget by Source'!$A$5:$I$5,0))-(ROUND(INDEX('Budget by Source'!$A$6:$I$335,MATCH('Payment by Source'!$A309,'Budget by Source'!$A$6:$A$335,0),MATCH(T$3,'Budget by Source'!$A$5:$I$5,0))/10,0)*10)</f>
        <v>-2</v>
      </c>
      <c r="U309" s="159">
        <f>INDEX('Budget by Source'!$A$6:$I$335,MATCH('Payment by Source'!$A309,'Budget by Source'!$A$6:$A$335,0),MATCH(U$3,'Budget by Source'!$A$5:$I$5,0))</f>
        <v>64813016</v>
      </c>
      <c r="V309" s="156">
        <f t="shared" si="13"/>
        <v>6481302</v>
      </c>
      <c r="W309" s="156">
        <f t="shared" si="14"/>
        <v>64813020</v>
      </c>
    </row>
    <row r="310" spans="1:23" x14ac:dyDescent="0.2">
      <c r="A310" s="23" t="str">
        <f>Data!B306</f>
        <v>6822</v>
      </c>
      <c r="B310" s="21" t="str">
        <f>INDEX(Data[],MATCH($A310,Data[Dist],0),MATCH(B$5,Data[#Headers],0))</f>
        <v>Waukee</v>
      </c>
      <c r="C310" s="22">
        <f>IF(Notes!$B$2="June",ROUND('Budget by Source'!C310/10,0)+P310,ROUND('Budget by Source'!C310/10,0))</f>
        <v>0</v>
      </c>
      <c r="D310" s="22">
        <f>IF(Notes!$B$2="June",ROUND('Budget by Source'!D310/10,0)+Q310,ROUND('Budget by Source'!D310/10,0))</f>
        <v>542452</v>
      </c>
      <c r="E310" s="22">
        <f>IF(Notes!$B$2="June",ROUND('Budget by Source'!E310/10,0)+R310,ROUND('Budget by Source'!E310/10,0))</f>
        <v>71806</v>
      </c>
      <c r="F310" s="22">
        <f>IF(Notes!$B$2="June",ROUND('Budget by Source'!F310/10,0)+S310,ROUND('Budget by Source'!F310/10,0))</f>
        <v>56076</v>
      </c>
      <c r="G310" s="22">
        <f>IF(Notes!$B$2="June",ROUND('Budget by Source'!G310/10,0)+T310,ROUND('Budget by Source'!G310/10,0))</f>
        <v>346082</v>
      </c>
      <c r="H310" s="22">
        <f t="shared" si="12"/>
        <v>4584964</v>
      </c>
      <c r="I310" s="22">
        <f>INDEX(Data[],MATCH($A310,Data[Dist],0),MATCH(I$5,Data[#Headers],0))</f>
        <v>5601380</v>
      </c>
      <c r="K310" s="70">
        <f>INDEX('Payment Total'!$A$7:$H$336,MATCH('Payment by Source'!$A310,'Payment Total'!$A$7:$A$336,0),6)-I310</f>
        <v>0</v>
      </c>
      <c r="P310" s="158">
        <f>INDEX('Budget by Source'!$A$6:$I$335,MATCH('Payment by Source'!$A310,'Budget by Source'!$A$6:$A$335,0),MATCH(P$3,'Budget by Source'!$A$5:$I$5,0))-(ROUND(INDEX('Budget by Source'!$A$6:$I$335,MATCH('Payment by Source'!$A310,'Budget by Source'!$A$6:$A$335,0),MATCH(P$3,'Budget by Source'!$A$5:$I$5,0))/10,0)*10)</f>
        <v>0</v>
      </c>
      <c r="Q310" s="158">
        <f>INDEX('Budget by Source'!$A$6:$I$335,MATCH('Payment by Source'!$A310,'Budget by Source'!$A$6:$A$335,0),MATCH(Q$3,'Budget by Source'!$A$5:$I$5,0))-(ROUND(INDEX('Budget by Source'!$A$6:$I$335,MATCH('Payment by Source'!$A310,'Budget by Source'!$A$6:$A$335,0),MATCH(Q$3,'Budget by Source'!$A$5:$I$5,0))/10,0)*10)</f>
        <v>2</v>
      </c>
      <c r="R310" s="158">
        <f>INDEX('Budget by Source'!$A$6:$I$335,MATCH('Payment by Source'!$A310,'Budget by Source'!$A$6:$A$335,0),MATCH(R$3,'Budget by Source'!$A$5:$I$5,0))-(ROUND(INDEX('Budget by Source'!$A$6:$I$335,MATCH('Payment by Source'!$A310,'Budget by Source'!$A$6:$A$335,0),MATCH(R$3,'Budget by Source'!$A$5:$I$5,0))/10,0)*10)</f>
        <v>4</v>
      </c>
      <c r="S310" s="158">
        <f>INDEX('Budget by Source'!$A$6:$I$335,MATCH('Payment by Source'!$A310,'Budget by Source'!$A$6:$A$335,0),MATCH(S$3,'Budget by Source'!$A$5:$I$5,0))-(ROUND(INDEX('Budget by Source'!$A$6:$I$335,MATCH('Payment by Source'!$A310,'Budget by Source'!$A$6:$A$335,0),MATCH(S$3,'Budget by Source'!$A$5:$I$5,0))/10,0)*10)</f>
        <v>4</v>
      </c>
      <c r="T310" s="158">
        <f>INDEX('Budget by Source'!$A$6:$I$335,MATCH('Payment by Source'!$A310,'Budget by Source'!$A$6:$A$335,0),MATCH(T$3,'Budget by Source'!$A$5:$I$5,0))-(ROUND(INDEX('Budget by Source'!$A$6:$I$335,MATCH('Payment by Source'!$A310,'Budget by Source'!$A$6:$A$335,0),MATCH(T$3,'Budget by Source'!$A$5:$I$5,0))/10,0)*10)</f>
        <v>2</v>
      </c>
      <c r="U310" s="159">
        <f>INDEX('Budget by Source'!$A$6:$I$335,MATCH('Payment by Source'!$A310,'Budget by Source'!$A$6:$A$335,0),MATCH(U$3,'Budget by Source'!$A$5:$I$5,0))</f>
        <v>46026269</v>
      </c>
      <c r="V310" s="156">
        <f t="shared" si="13"/>
        <v>4602627</v>
      </c>
      <c r="W310" s="156">
        <f t="shared" si="14"/>
        <v>46026270</v>
      </c>
    </row>
    <row r="311" spans="1:23" x14ac:dyDescent="0.2">
      <c r="A311" s="23" t="str">
        <f>Data!B307</f>
        <v>6840</v>
      </c>
      <c r="B311" s="21" t="str">
        <f>INDEX(Data[],MATCH($A311,Data[Dist],0),MATCH(B$5,Data[#Headers],0))</f>
        <v>Waverly-Shell Rock</v>
      </c>
      <c r="C311" s="22">
        <f>IF(Notes!$B$2="June",ROUND('Budget by Source'!C311/10,0)+P311,ROUND('Budget by Source'!C311/10,0))</f>
        <v>33852</v>
      </c>
      <c r="D311" s="22">
        <f>IF(Notes!$B$2="June",ROUND('Budget by Source'!D311/10,0)+Q311,ROUND('Budget by Source'!D311/10,0))</f>
        <v>129243</v>
      </c>
      <c r="E311" s="22">
        <f>IF(Notes!$B$2="June",ROUND('Budget by Source'!E311/10,0)+R311,ROUND('Budget by Source'!E311/10,0))</f>
        <v>12176</v>
      </c>
      <c r="F311" s="22">
        <f>IF(Notes!$B$2="June",ROUND('Budget by Source'!F311/10,0)+S311,ROUND('Budget by Source'!F311/10,0))</f>
        <v>14347</v>
      </c>
      <c r="G311" s="22">
        <f>IF(Notes!$B$2="June",ROUND('Budget by Source'!G311/10,0)+T311,ROUND('Budget by Source'!G311/10,0))</f>
        <v>67893</v>
      </c>
      <c r="H311" s="22">
        <f t="shared" si="12"/>
        <v>970460</v>
      </c>
      <c r="I311" s="22">
        <f>INDEX(Data[],MATCH($A311,Data[Dist],0),MATCH(I$5,Data[#Headers],0))</f>
        <v>1227971</v>
      </c>
      <c r="K311" s="70">
        <f>INDEX('Payment Total'!$A$7:$H$336,MATCH('Payment by Source'!$A311,'Payment Total'!$A$7:$A$336,0),6)-I311</f>
        <v>0</v>
      </c>
      <c r="P311" s="158">
        <f>INDEX('Budget by Source'!$A$6:$I$335,MATCH('Payment by Source'!$A311,'Budget by Source'!$A$6:$A$335,0),MATCH(P$3,'Budget by Source'!$A$5:$I$5,0))-(ROUND(INDEX('Budget by Source'!$A$6:$I$335,MATCH('Payment by Source'!$A311,'Budget by Source'!$A$6:$A$335,0),MATCH(P$3,'Budget by Source'!$A$5:$I$5,0))/10,0)*10)</f>
        <v>3</v>
      </c>
      <c r="Q311" s="158">
        <f>INDEX('Budget by Source'!$A$6:$I$335,MATCH('Payment by Source'!$A311,'Budget by Source'!$A$6:$A$335,0),MATCH(Q$3,'Budget by Source'!$A$5:$I$5,0))-(ROUND(INDEX('Budget by Source'!$A$6:$I$335,MATCH('Payment by Source'!$A311,'Budget by Source'!$A$6:$A$335,0),MATCH(Q$3,'Budget by Source'!$A$5:$I$5,0))/10,0)*10)</f>
        <v>0</v>
      </c>
      <c r="R311" s="158">
        <f>INDEX('Budget by Source'!$A$6:$I$335,MATCH('Payment by Source'!$A311,'Budget by Source'!$A$6:$A$335,0),MATCH(R$3,'Budget by Source'!$A$5:$I$5,0))-(ROUND(INDEX('Budget by Source'!$A$6:$I$335,MATCH('Payment by Source'!$A311,'Budget by Source'!$A$6:$A$335,0),MATCH(R$3,'Budget by Source'!$A$5:$I$5,0))/10,0)*10)</f>
        <v>-4</v>
      </c>
      <c r="S311" s="158">
        <f>INDEX('Budget by Source'!$A$6:$I$335,MATCH('Payment by Source'!$A311,'Budget by Source'!$A$6:$A$335,0),MATCH(S$3,'Budget by Source'!$A$5:$I$5,0))-(ROUND(INDEX('Budget by Source'!$A$6:$I$335,MATCH('Payment by Source'!$A311,'Budget by Source'!$A$6:$A$335,0),MATCH(S$3,'Budget by Source'!$A$5:$I$5,0))/10,0)*10)</f>
        <v>-4</v>
      </c>
      <c r="T311" s="158">
        <f>INDEX('Budget by Source'!$A$6:$I$335,MATCH('Payment by Source'!$A311,'Budget by Source'!$A$6:$A$335,0),MATCH(T$3,'Budget by Source'!$A$5:$I$5,0))-(ROUND(INDEX('Budget by Source'!$A$6:$I$335,MATCH('Payment by Source'!$A311,'Budget by Source'!$A$6:$A$335,0),MATCH(T$3,'Budget by Source'!$A$5:$I$5,0))/10,0)*10)</f>
        <v>-3</v>
      </c>
      <c r="U311" s="159">
        <f>INDEX('Budget by Source'!$A$6:$I$335,MATCH('Payment by Source'!$A311,'Budget by Source'!$A$6:$A$335,0),MATCH(U$3,'Budget by Source'!$A$5:$I$5,0))</f>
        <v>9739153</v>
      </c>
      <c r="V311" s="156">
        <f t="shared" si="13"/>
        <v>973915</v>
      </c>
      <c r="W311" s="156">
        <f t="shared" si="14"/>
        <v>9739150</v>
      </c>
    </row>
    <row r="312" spans="1:23" x14ac:dyDescent="0.2">
      <c r="A312" s="23" t="str">
        <f>Data!B308</f>
        <v>6854</v>
      </c>
      <c r="B312" s="21" t="str">
        <f>INDEX(Data[],MATCH($A312,Data[Dist],0),MATCH(B$5,Data[#Headers],0))</f>
        <v>Wayne</v>
      </c>
      <c r="C312" s="22">
        <f>IF(Notes!$B$2="June",ROUND('Budget by Source'!C312/10,0)+P312,ROUND('Budget by Source'!C312/10,0))</f>
        <v>16421</v>
      </c>
      <c r="D312" s="22">
        <f>IF(Notes!$B$2="June",ROUND('Budget by Source'!D312/10,0)+Q312,ROUND('Budget by Source'!D312/10,0))</f>
        <v>39294</v>
      </c>
      <c r="E312" s="22">
        <f>IF(Notes!$B$2="June",ROUND('Budget by Source'!E312/10,0)+R312,ROUND('Budget by Source'!E312/10,0))</f>
        <v>4392</v>
      </c>
      <c r="F312" s="22">
        <f>IF(Notes!$B$2="June",ROUND('Budget by Source'!F312/10,0)+S312,ROUND('Budget by Source'!F312/10,0))</f>
        <v>4376</v>
      </c>
      <c r="G312" s="22">
        <f>IF(Notes!$B$2="June",ROUND('Budget by Source'!G312/10,0)+T312,ROUND('Budget by Source'!G312/10,0))</f>
        <v>18796</v>
      </c>
      <c r="H312" s="22">
        <f t="shared" si="12"/>
        <v>249135</v>
      </c>
      <c r="I312" s="22">
        <f>INDEX(Data[],MATCH($A312,Data[Dist],0),MATCH(I$5,Data[#Headers],0))</f>
        <v>332414</v>
      </c>
      <c r="K312" s="70">
        <f>INDEX('Payment Total'!$A$7:$H$336,MATCH('Payment by Source'!$A312,'Payment Total'!$A$7:$A$336,0),6)-I312</f>
        <v>0</v>
      </c>
      <c r="P312" s="158">
        <f>INDEX('Budget by Source'!$A$6:$I$335,MATCH('Payment by Source'!$A312,'Budget by Source'!$A$6:$A$335,0),MATCH(P$3,'Budget by Source'!$A$5:$I$5,0))-(ROUND(INDEX('Budget by Source'!$A$6:$I$335,MATCH('Payment by Source'!$A312,'Budget by Source'!$A$6:$A$335,0),MATCH(P$3,'Budget by Source'!$A$5:$I$5,0))/10,0)*10)</f>
        <v>-1</v>
      </c>
      <c r="Q312" s="158">
        <f>INDEX('Budget by Source'!$A$6:$I$335,MATCH('Payment by Source'!$A312,'Budget by Source'!$A$6:$A$335,0),MATCH(Q$3,'Budget by Source'!$A$5:$I$5,0))-(ROUND(INDEX('Budget by Source'!$A$6:$I$335,MATCH('Payment by Source'!$A312,'Budget by Source'!$A$6:$A$335,0),MATCH(Q$3,'Budget by Source'!$A$5:$I$5,0))/10,0)*10)</f>
        <v>2</v>
      </c>
      <c r="R312" s="158">
        <f>INDEX('Budget by Source'!$A$6:$I$335,MATCH('Payment by Source'!$A312,'Budget by Source'!$A$6:$A$335,0),MATCH(R$3,'Budget by Source'!$A$5:$I$5,0))-(ROUND(INDEX('Budget by Source'!$A$6:$I$335,MATCH('Payment by Source'!$A312,'Budget by Source'!$A$6:$A$335,0),MATCH(R$3,'Budget by Source'!$A$5:$I$5,0))/10,0)*10)</f>
        <v>-3</v>
      </c>
      <c r="S312" s="158">
        <f>INDEX('Budget by Source'!$A$6:$I$335,MATCH('Payment by Source'!$A312,'Budget by Source'!$A$6:$A$335,0),MATCH(S$3,'Budget by Source'!$A$5:$I$5,0))-(ROUND(INDEX('Budget by Source'!$A$6:$I$335,MATCH('Payment by Source'!$A312,'Budget by Source'!$A$6:$A$335,0),MATCH(S$3,'Budget by Source'!$A$5:$I$5,0))/10,0)*10)</f>
        <v>-1</v>
      </c>
      <c r="T312" s="158">
        <f>INDEX('Budget by Source'!$A$6:$I$335,MATCH('Payment by Source'!$A312,'Budget by Source'!$A$6:$A$335,0),MATCH(T$3,'Budget by Source'!$A$5:$I$5,0))-(ROUND(INDEX('Budget by Source'!$A$6:$I$335,MATCH('Payment by Source'!$A312,'Budget by Source'!$A$6:$A$335,0),MATCH(T$3,'Budget by Source'!$A$5:$I$5,0))/10,0)*10)</f>
        <v>3</v>
      </c>
      <c r="U312" s="159">
        <f>INDEX('Budget by Source'!$A$6:$I$335,MATCH('Payment by Source'!$A312,'Budget by Source'!$A$6:$A$335,0),MATCH(U$3,'Budget by Source'!$A$5:$I$5,0))</f>
        <v>2500934</v>
      </c>
      <c r="V312" s="156">
        <f t="shared" si="13"/>
        <v>250093</v>
      </c>
      <c r="W312" s="156">
        <f t="shared" si="14"/>
        <v>2500930</v>
      </c>
    </row>
    <row r="313" spans="1:23" x14ac:dyDescent="0.2">
      <c r="A313" s="23" t="str">
        <f>Data!B309</f>
        <v>6867</v>
      </c>
      <c r="B313" s="21" t="str">
        <f>INDEX(Data[],MATCH($A313,Data[Dist],0),MATCH(B$5,Data[#Headers],0))</f>
        <v>Webster City</v>
      </c>
      <c r="C313" s="22">
        <f>IF(Notes!$B$2="June",ROUND('Budget by Source'!C313/10,0)+P313,ROUND('Budget by Source'!C313/10,0))</f>
        <v>32506</v>
      </c>
      <c r="D313" s="22">
        <f>IF(Notes!$B$2="June",ROUND('Budget by Source'!D313/10,0)+Q313,ROUND('Budget by Source'!D313/10,0))</f>
        <v>89831</v>
      </c>
      <c r="E313" s="22">
        <f>IF(Notes!$B$2="June",ROUND('Budget by Source'!E313/10,0)+R313,ROUND('Budget by Source'!E313/10,0))</f>
        <v>11260</v>
      </c>
      <c r="F313" s="22">
        <f>IF(Notes!$B$2="June",ROUND('Budget by Source'!F313/10,0)+S313,ROUND('Budget by Source'!F313/10,0))</f>
        <v>9943</v>
      </c>
      <c r="G313" s="22">
        <f>IF(Notes!$B$2="June",ROUND('Budget by Source'!G313/10,0)+T313,ROUND('Budget by Source'!G313/10,0))</f>
        <v>49905</v>
      </c>
      <c r="H313" s="22">
        <f t="shared" si="12"/>
        <v>870393</v>
      </c>
      <c r="I313" s="22">
        <f>INDEX(Data[],MATCH($A313,Data[Dist],0),MATCH(I$5,Data[#Headers],0))</f>
        <v>1063838</v>
      </c>
      <c r="K313" s="70">
        <f>INDEX('Payment Total'!$A$7:$H$336,MATCH('Payment by Source'!$A313,'Payment Total'!$A$7:$A$336,0),6)-I313</f>
        <v>0</v>
      </c>
      <c r="P313" s="158">
        <f>INDEX('Budget by Source'!$A$6:$I$335,MATCH('Payment by Source'!$A313,'Budget by Source'!$A$6:$A$335,0),MATCH(P$3,'Budget by Source'!$A$5:$I$5,0))-(ROUND(INDEX('Budget by Source'!$A$6:$I$335,MATCH('Payment by Source'!$A313,'Budget by Source'!$A$6:$A$335,0),MATCH(P$3,'Budget by Source'!$A$5:$I$5,0))/10,0)*10)</f>
        <v>-3</v>
      </c>
      <c r="Q313" s="158">
        <f>INDEX('Budget by Source'!$A$6:$I$335,MATCH('Payment by Source'!$A313,'Budget by Source'!$A$6:$A$335,0),MATCH(Q$3,'Budget by Source'!$A$5:$I$5,0))-(ROUND(INDEX('Budget by Source'!$A$6:$I$335,MATCH('Payment by Source'!$A313,'Budget by Source'!$A$6:$A$335,0),MATCH(Q$3,'Budget by Source'!$A$5:$I$5,0))/10,0)*10)</f>
        <v>0</v>
      </c>
      <c r="R313" s="158">
        <f>INDEX('Budget by Source'!$A$6:$I$335,MATCH('Payment by Source'!$A313,'Budget by Source'!$A$6:$A$335,0),MATCH(R$3,'Budget by Source'!$A$5:$I$5,0))-(ROUND(INDEX('Budget by Source'!$A$6:$I$335,MATCH('Payment by Source'!$A313,'Budget by Source'!$A$6:$A$335,0),MATCH(R$3,'Budget by Source'!$A$5:$I$5,0))/10,0)*10)</f>
        <v>2</v>
      </c>
      <c r="S313" s="158">
        <f>INDEX('Budget by Source'!$A$6:$I$335,MATCH('Payment by Source'!$A313,'Budget by Source'!$A$6:$A$335,0),MATCH(S$3,'Budget by Source'!$A$5:$I$5,0))-(ROUND(INDEX('Budget by Source'!$A$6:$I$335,MATCH('Payment by Source'!$A313,'Budget by Source'!$A$6:$A$335,0),MATCH(S$3,'Budget by Source'!$A$5:$I$5,0))/10,0)*10)</f>
        <v>0</v>
      </c>
      <c r="T313" s="158">
        <f>INDEX('Budget by Source'!$A$6:$I$335,MATCH('Payment by Source'!$A313,'Budget by Source'!$A$6:$A$335,0),MATCH(T$3,'Budget by Source'!$A$5:$I$5,0))-(ROUND(INDEX('Budget by Source'!$A$6:$I$335,MATCH('Payment by Source'!$A313,'Budget by Source'!$A$6:$A$335,0),MATCH(T$3,'Budget by Source'!$A$5:$I$5,0))/10,0)*10)</f>
        <v>2</v>
      </c>
      <c r="U313" s="159">
        <f>INDEX('Budget by Source'!$A$6:$I$335,MATCH('Payment by Source'!$A313,'Budget by Source'!$A$6:$A$335,0),MATCH(U$3,'Budget by Source'!$A$5:$I$5,0))</f>
        <v>8729047</v>
      </c>
      <c r="V313" s="156">
        <f t="shared" si="13"/>
        <v>872905</v>
      </c>
      <c r="W313" s="156">
        <f t="shared" si="14"/>
        <v>8729050</v>
      </c>
    </row>
    <row r="314" spans="1:23" x14ac:dyDescent="0.2">
      <c r="A314" s="23" t="str">
        <f>Data!B310</f>
        <v>6921</v>
      </c>
      <c r="B314" s="21" t="str">
        <f>INDEX(Data[],MATCH($A314,Data[Dist],0),MATCH(B$5,Data[#Headers],0))</f>
        <v>West Bend-Mallard</v>
      </c>
      <c r="C314" s="22">
        <f>IF(Notes!$B$2="June",ROUND('Budget by Source'!C314/10,0)+P314,ROUND('Budget by Source'!C314/10,0))</f>
        <v>5028</v>
      </c>
      <c r="D314" s="22">
        <f>IF(Notes!$B$2="June",ROUND('Budget by Source'!D314/10,0)+Q314,ROUND('Budget by Source'!D314/10,0))</f>
        <v>20751</v>
      </c>
      <c r="E314" s="22">
        <f>IF(Notes!$B$2="June",ROUND('Budget by Source'!E314/10,0)+R314,ROUND('Budget by Source'!E314/10,0))</f>
        <v>1941</v>
      </c>
      <c r="F314" s="22">
        <f>IF(Notes!$B$2="June",ROUND('Budget by Source'!F314/10,0)+S314,ROUND('Budget by Source'!F314/10,0))</f>
        <v>2201</v>
      </c>
      <c r="G314" s="22">
        <f>IF(Notes!$B$2="June",ROUND('Budget by Source'!G314/10,0)+T314,ROUND('Budget by Source'!G314/10,0))</f>
        <v>10275</v>
      </c>
      <c r="H314" s="22">
        <f t="shared" si="12"/>
        <v>83241</v>
      </c>
      <c r="I314" s="22">
        <f>INDEX(Data[],MATCH($A314,Data[Dist],0),MATCH(I$5,Data[#Headers],0))</f>
        <v>123437</v>
      </c>
      <c r="K314" s="70">
        <f>INDEX('Payment Total'!$A$7:$H$336,MATCH('Payment by Source'!$A314,'Payment Total'!$A$7:$A$336,0),6)-I314</f>
        <v>0</v>
      </c>
      <c r="P314" s="158">
        <f>INDEX('Budget by Source'!$A$6:$I$335,MATCH('Payment by Source'!$A314,'Budget by Source'!$A$6:$A$335,0),MATCH(P$3,'Budget by Source'!$A$5:$I$5,0))-(ROUND(INDEX('Budget by Source'!$A$6:$I$335,MATCH('Payment by Source'!$A314,'Budget by Source'!$A$6:$A$335,0),MATCH(P$3,'Budget by Source'!$A$5:$I$5,0))/10,0)*10)</f>
        <v>1</v>
      </c>
      <c r="Q314" s="158">
        <f>INDEX('Budget by Source'!$A$6:$I$335,MATCH('Payment by Source'!$A314,'Budget by Source'!$A$6:$A$335,0),MATCH(Q$3,'Budget by Source'!$A$5:$I$5,0))-(ROUND(INDEX('Budget by Source'!$A$6:$I$335,MATCH('Payment by Source'!$A314,'Budget by Source'!$A$6:$A$335,0),MATCH(Q$3,'Budget by Source'!$A$5:$I$5,0))/10,0)*10)</f>
        <v>-2</v>
      </c>
      <c r="R314" s="158">
        <f>INDEX('Budget by Source'!$A$6:$I$335,MATCH('Payment by Source'!$A314,'Budget by Source'!$A$6:$A$335,0),MATCH(R$3,'Budget by Source'!$A$5:$I$5,0))-(ROUND(INDEX('Budget by Source'!$A$6:$I$335,MATCH('Payment by Source'!$A314,'Budget by Source'!$A$6:$A$335,0),MATCH(R$3,'Budget by Source'!$A$5:$I$5,0))/10,0)*10)</f>
        <v>2</v>
      </c>
      <c r="S314" s="158">
        <f>INDEX('Budget by Source'!$A$6:$I$335,MATCH('Payment by Source'!$A314,'Budget by Source'!$A$6:$A$335,0),MATCH(S$3,'Budget by Source'!$A$5:$I$5,0))-(ROUND(INDEX('Budget by Source'!$A$6:$I$335,MATCH('Payment by Source'!$A314,'Budget by Source'!$A$6:$A$335,0),MATCH(S$3,'Budget by Source'!$A$5:$I$5,0))/10,0)*10)</f>
        <v>-4</v>
      </c>
      <c r="T314" s="158">
        <f>INDEX('Budget by Source'!$A$6:$I$335,MATCH('Payment by Source'!$A314,'Budget by Source'!$A$6:$A$335,0),MATCH(T$3,'Budget by Source'!$A$5:$I$5,0))-(ROUND(INDEX('Budget by Source'!$A$6:$I$335,MATCH('Payment by Source'!$A314,'Budget by Source'!$A$6:$A$335,0),MATCH(T$3,'Budget by Source'!$A$5:$I$5,0))/10,0)*10)</f>
        <v>-2</v>
      </c>
      <c r="U314" s="159">
        <f>INDEX('Budget by Source'!$A$6:$I$335,MATCH('Payment by Source'!$A314,'Budget by Source'!$A$6:$A$335,0),MATCH(U$3,'Budget by Source'!$A$5:$I$5,0))</f>
        <v>861657</v>
      </c>
      <c r="V314" s="156">
        <f t="shared" si="13"/>
        <v>86166</v>
      </c>
      <c r="W314" s="156">
        <f t="shared" si="14"/>
        <v>861660</v>
      </c>
    </row>
    <row r="315" spans="1:23" x14ac:dyDescent="0.2">
      <c r="A315" s="23" t="str">
        <f>Data!B311</f>
        <v>6930</v>
      </c>
      <c r="B315" s="21" t="str">
        <f>INDEX(Data[],MATCH($A315,Data[Dist],0),MATCH(B$5,Data[#Headers],0))</f>
        <v>West Branch</v>
      </c>
      <c r="C315" s="22">
        <f>IF(Notes!$B$2="June",ROUND('Budget by Source'!C315/10,0)+P315,ROUND('Budget by Source'!C315/10,0))</f>
        <v>15085</v>
      </c>
      <c r="D315" s="22">
        <f>IF(Notes!$B$2="June",ROUND('Budget by Source'!D315/10,0)+Q315,ROUND('Budget by Source'!D315/10,0))</f>
        <v>44538</v>
      </c>
      <c r="E315" s="22">
        <f>IF(Notes!$B$2="June",ROUND('Budget by Source'!E315/10,0)+R315,ROUND('Budget by Source'!E315/10,0))</f>
        <v>4824</v>
      </c>
      <c r="F315" s="22">
        <f>IF(Notes!$B$2="June",ROUND('Budget by Source'!F315/10,0)+S315,ROUND('Budget by Source'!F315/10,0))</f>
        <v>4724</v>
      </c>
      <c r="G315" s="22">
        <f>IF(Notes!$B$2="June",ROUND('Budget by Source'!G315/10,0)+T315,ROUND('Budget by Source'!G315/10,0))</f>
        <v>25280</v>
      </c>
      <c r="H315" s="22">
        <f t="shared" si="12"/>
        <v>303987</v>
      </c>
      <c r="I315" s="22">
        <f>INDEX(Data[],MATCH($A315,Data[Dist],0),MATCH(I$5,Data[#Headers],0))</f>
        <v>398438</v>
      </c>
      <c r="K315" s="70">
        <f>INDEX('Payment Total'!$A$7:$H$336,MATCH('Payment by Source'!$A315,'Payment Total'!$A$7:$A$336,0),6)-I315</f>
        <v>0</v>
      </c>
      <c r="P315" s="158">
        <f>INDEX('Budget by Source'!$A$6:$I$335,MATCH('Payment by Source'!$A315,'Budget by Source'!$A$6:$A$335,0),MATCH(P$3,'Budget by Source'!$A$5:$I$5,0))-(ROUND(INDEX('Budget by Source'!$A$6:$I$335,MATCH('Payment by Source'!$A315,'Budget by Source'!$A$6:$A$335,0),MATCH(P$3,'Budget by Source'!$A$5:$I$5,0))/10,0)*10)</f>
        <v>4</v>
      </c>
      <c r="Q315" s="158">
        <f>INDEX('Budget by Source'!$A$6:$I$335,MATCH('Payment by Source'!$A315,'Budget by Source'!$A$6:$A$335,0),MATCH(Q$3,'Budget by Source'!$A$5:$I$5,0))-(ROUND(INDEX('Budget by Source'!$A$6:$I$335,MATCH('Payment by Source'!$A315,'Budget by Source'!$A$6:$A$335,0),MATCH(Q$3,'Budget by Source'!$A$5:$I$5,0))/10,0)*10)</f>
        <v>2</v>
      </c>
      <c r="R315" s="158">
        <f>INDEX('Budget by Source'!$A$6:$I$335,MATCH('Payment by Source'!$A315,'Budget by Source'!$A$6:$A$335,0),MATCH(R$3,'Budget by Source'!$A$5:$I$5,0))-(ROUND(INDEX('Budget by Source'!$A$6:$I$335,MATCH('Payment by Source'!$A315,'Budget by Source'!$A$6:$A$335,0),MATCH(R$3,'Budget by Source'!$A$5:$I$5,0))/10,0)*10)</f>
        <v>1</v>
      </c>
      <c r="S315" s="158">
        <f>INDEX('Budget by Source'!$A$6:$I$335,MATCH('Payment by Source'!$A315,'Budget by Source'!$A$6:$A$335,0),MATCH(S$3,'Budget by Source'!$A$5:$I$5,0))-(ROUND(INDEX('Budget by Source'!$A$6:$I$335,MATCH('Payment by Source'!$A315,'Budget by Source'!$A$6:$A$335,0),MATCH(S$3,'Budget by Source'!$A$5:$I$5,0))/10,0)*10)</f>
        <v>0</v>
      </c>
      <c r="T315" s="158">
        <f>INDEX('Budget by Source'!$A$6:$I$335,MATCH('Payment by Source'!$A315,'Budget by Source'!$A$6:$A$335,0),MATCH(T$3,'Budget by Source'!$A$5:$I$5,0))-(ROUND(INDEX('Budget by Source'!$A$6:$I$335,MATCH('Payment by Source'!$A315,'Budget by Source'!$A$6:$A$335,0),MATCH(T$3,'Budget by Source'!$A$5:$I$5,0))/10,0)*10)</f>
        <v>-1</v>
      </c>
      <c r="U315" s="159">
        <f>INDEX('Budget by Source'!$A$6:$I$335,MATCH('Payment by Source'!$A315,'Budget by Source'!$A$6:$A$335,0),MATCH(U$3,'Budget by Source'!$A$5:$I$5,0))</f>
        <v>3052834</v>
      </c>
      <c r="V315" s="156">
        <f t="shared" si="13"/>
        <v>305283</v>
      </c>
      <c r="W315" s="156">
        <f t="shared" si="14"/>
        <v>3052830</v>
      </c>
    </row>
    <row r="316" spans="1:23" x14ac:dyDescent="0.2">
      <c r="A316" s="23" t="str">
        <f>Data!B312</f>
        <v>6937</v>
      </c>
      <c r="B316" s="21" t="str">
        <f>INDEX(Data[],MATCH($A316,Data[Dist],0),MATCH(B$5,Data[#Headers],0))</f>
        <v>West Burlington</v>
      </c>
      <c r="C316" s="22">
        <f>IF(Notes!$B$2="June",ROUND('Budget by Source'!C316/10,0)+P316,ROUND('Budget by Source'!C316/10,0))</f>
        <v>11730</v>
      </c>
      <c r="D316" s="22">
        <f>IF(Notes!$B$2="June",ROUND('Budget by Source'!D316/10,0)+Q316,ROUND('Budget by Source'!D316/10,0))</f>
        <v>32997</v>
      </c>
      <c r="E316" s="22">
        <f>IF(Notes!$B$2="June",ROUND('Budget by Source'!E316/10,0)+R316,ROUND('Budget by Source'!E316/10,0))</f>
        <v>5375</v>
      </c>
      <c r="F316" s="22">
        <f>IF(Notes!$B$2="June",ROUND('Budget by Source'!F316/10,0)+S316,ROUND('Budget by Source'!F316/10,0))</f>
        <v>4252</v>
      </c>
      <c r="G316" s="22">
        <f>IF(Notes!$B$2="June",ROUND('Budget by Source'!G316/10,0)+T316,ROUND('Budget by Source'!G316/10,0))</f>
        <v>15187</v>
      </c>
      <c r="H316" s="22">
        <f t="shared" si="12"/>
        <v>215801</v>
      </c>
      <c r="I316" s="22">
        <f>INDEX(Data[],MATCH($A316,Data[Dist],0),MATCH(I$5,Data[#Headers],0))</f>
        <v>285342</v>
      </c>
      <c r="K316" s="70">
        <f>INDEX('Payment Total'!$A$7:$H$336,MATCH('Payment by Source'!$A316,'Payment Total'!$A$7:$A$336,0),6)-I316</f>
        <v>0</v>
      </c>
      <c r="P316" s="158">
        <f>INDEX('Budget by Source'!$A$6:$I$335,MATCH('Payment by Source'!$A316,'Budget by Source'!$A$6:$A$335,0),MATCH(P$3,'Budget by Source'!$A$5:$I$5,0))-(ROUND(INDEX('Budget by Source'!$A$6:$I$335,MATCH('Payment by Source'!$A316,'Budget by Source'!$A$6:$A$335,0),MATCH(P$3,'Budget by Source'!$A$5:$I$5,0))/10,0)*10)</f>
        <v>0</v>
      </c>
      <c r="Q316" s="158">
        <f>INDEX('Budget by Source'!$A$6:$I$335,MATCH('Payment by Source'!$A316,'Budget by Source'!$A$6:$A$335,0),MATCH(Q$3,'Budget by Source'!$A$5:$I$5,0))-(ROUND(INDEX('Budget by Source'!$A$6:$I$335,MATCH('Payment by Source'!$A316,'Budget by Source'!$A$6:$A$335,0),MATCH(Q$3,'Budget by Source'!$A$5:$I$5,0))/10,0)*10)</f>
        <v>4</v>
      </c>
      <c r="R316" s="158">
        <f>INDEX('Budget by Source'!$A$6:$I$335,MATCH('Payment by Source'!$A316,'Budget by Source'!$A$6:$A$335,0),MATCH(R$3,'Budget by Source'!$A$5:$I$5,0))-(ROUND(INDEX('Budget by Source'!$A$6:$I$335,MATCH('Payment by Source'!$A316,'Budget by Source'!$A$6:$A$335,0),MATCH(R$3,'Budget by Source'!$A$5:$I$5,0))/10,0)*10)</f>
        <v>-2</v>
      </c>
      <c r="S316" s="158">
        <f>INDEX('Budget by Source'!$A$6:$I$335,MATCH('Payment by Source'!$A316,'Budget by Source'!$A$6:$A$335,0),MATCH(S$3,'Budget by Source'!$A$5:$I$5,0))-(ROUND(INDEX('Budget by Source'!$A$6:$I$335,MATCH('Payment by Source'!$A316,'Budget by Source'!$A$6:$A$335,0),MATCH(S$3,'Budget by Source'!$A$5:$I$5,0))/10,0)*10)</f>
        <v>-1</v>
      </c>
      <c r="T316" s="158">
        <f>INDEX('Budget by Source'!$A$6:$I$335,MATCH('Payment by Source'!$A316,'Budget by Source'!$A$6:$A$335,0),MATCH(T$3,'Budget by Source'!$A$5:$I$5,0))-(ROUND(INDEX('Budget by Source'!$A$6:$I$335,MATCH('Payment by Source'!$A316,'Budget by Source'!$A$6:$A$335,0),MATCH(T$3,'Budget by Source'!$A$5:$I$5,0))/10,0)*10)</f>
        <v>-2</v>
      </c>
      <c r="U316" s="159">
        <f>INDEX('Budget by Source'!$A$6:$I$335,MATCH('Payment by Source'!$A316,'Budget by Source'!$A$6:$A$335,0),MATCH(U$3,'Budget by Source'!$A$5:$I$5,0))</f>
        <v>2165761</v>
      </c>
      <c r="V316" s="156">
        <f t="shared" si="13"/>
        <v>216576</v>
      </c>
      <c r="W316" s="156">
        <f t="shared" si="14"/>
        <v>2165760</v>
      </c>
    </row>
    <row r="317" spans="1:23" x14ac:dyDescent="0.2">
      <c r="A317" s="23" t="str">
        <f>Data!B313</f>
        <v>6943</v>
      </c>
      <c r="B317" s="21" t="str">
        <f>INDEX(Data[],MATCH($A317,Data[Dist],0),MATCH(B$5,Data[#Headers],0))</f>
        <v>West Central</v>
      </c>
      <c r="C317" s="22">
        <f>IF(Notes!$B$2="June",ROUND('Budget by Source'!C317/10,0)+P317,ROUND('Budget by Source'!C317/10,0))</f>
        <v>3683</v>
      </c>
      <c r="D317" s="22">
        <f>IF(Notes!$B$2="June",ROUND('Budget by Source'!D317/10,0)+Q317,ROUND('Budget by Source'!D317/10,0))</f>
        <v>16157</v>
      </c>
      <c r="E317" s="22">
        <f>IF(Notes!$B$2="June",ROUND('Budget by Source'!E317/10,0)+R317,ROUND('Budget by Source'!E317/10,0))</f>
        <v>1550</v>
      </c>
      <c r="F317" s="22">
        <f>IF(Notes!$B$2="June",ROUND('Budget by Source'!F317/10,0)+S317,ROUND('Budget by Source'!F317/10,0))</f>
        <v>1687</v>
      </c>
      <c r="G317" s="22">
        <f>IF(Notes!$B$2="June",ROUND('Budget by Source'!G317/10,0)+T317,ROUND('Budget by Source'!G317/10,0))</f>
        <v>8495</v>
      </c>
      <c r="H317" s="22">
        <f t="shared" si="12"/>
        <v>93963</v>
      </c>
      <c r="I317" s="22">
        <f>INDEX(Data[],MATCH($A317,Data[Dist],0),MATCH(I$5,Data[#Headers],0))</f>
        <v>125535</v>
      </c>
      <c r="K317" s="70">
        <f>INDEX('Payment Total'!$A$7:$H$336,MATCH('Payment by Source'!$A317,'Payment Total'!$A$7:$A$336,0),6)-I317</f>
        <v>0</v>
      </c>
      <c r="P317" s="158">
        <f>INDEX('Budget by Source'!$A$6:$I$335,MATCH('Payment by Source'!$A317,'Budget by Source'!$A$6:$A$335,0),MATCH(P$3,'Budget by Source'!$A$5:$I$5,0))-(ROUND(INDEX('Budget by Source'!$A$6:$I$335,MATCH('Payment by Source'!$A317,'Budget by Source'!$A$6:$A$335,0),MATCH(P$3,'Budget by Source'!$A$5:$I$5,0))/10,0)*10)</f>
        <v>-4</v>
      </c>
      <c r="Q317" s="158">
        <f>INDEX('Budget by Source'!$A$6:$I$335,MATCH('Payment by Source'!$A317,'Budget by Source'!$A$6:$A$335,0),MATCH(Q$3,'Budget by Source'!$A$5:$I$5,0))-(ROUND(INDEX('Budget by Source'!$A$6:$I$335,MATCH('Payment by Source'!$A317,'Budget by Source'!$A$6:$A$335,0),MATCH(Q$3,'Budget by Source'!$A$5:$I$5,0))/10,0)*10)</f>
        <v>1</v>
      </c>
      <c r="R317" s="158">
        <f>INDEX('Budget by Source'!$A$6:$I$335,MATCH('Payment by Source'!$A317,'Budget by Source'!$A$6:$A$335,0),MATCH(R$3,'Budget by Source'!$A$5:$I$5,0))-(ROUND(INDEX('Budget by Source'!$A$6:$I$335,MATCH('Payment by Source'!$A317,'Budget by Source'!$A$6:$A$335,0),MATCH(R$3,'Budget by Source'!$A$5:$I$5,0))/10,0)*10)</f>
        <v>-4</v>
      </c>
      <c r="S317" s="158">
        <f>INDEX('Budget by Source'!$A$6:$I$335,MATCH('Payment by Source'!$A317,'Budget by Source'!$A$6:$A$335,0),MATCH(S$3,'Budget by Source'!$A$5:$I$5,0))-(ROUND(INDEX('Budget by Source'!$A$6:$I$335,MATCH('Payment by Source'!$A317,'Budget by Source'!$A$6:$A$335,0),MATCH(S$3,'Budget by Source'!$A$5:$I$5,0))/10,0)*10)</f>
        <v>2</v>
      </c>
      <c r="T317" s="158">
        <f>INDEX('Budget by Source'!$A$6:$I$335,MATCH('Payment by Source'!$A317,'Budget by Source'!$A$6:$A$335,0),MATCH(T$3,'Budget by Source'!$A$5:$I$5,0))-(ROUND(INDEX('Budget by Source'!$A$6:$I$335,MATCH('Payment by Source'!$A317,'Budget by Source'!$A$6:$A$335,0),MATCH(T$3,'Budget by Source'!$A$5:$I$5,0))/10,0)*10)</f>
        <v>3</v>
      </c>
      <c r="U317" s="159">
        <f>INDEX('Budget by Source'!$A$6:$I$335,MATCH('Payment by Source'!$A317,'Budget by Source'!$A$6:$A$335,0),MATCH(U$3,'Budget by Source'!$A$5:$I$5,0))</f>
        <v>943953</v>
      </c>
      <c r="V317" s="156">
        <f t="shared" si="13"/>
        <v>94395</v>
      </c>
      <c r="W317" s="156">
        <f t="shared" si="14"/>
        <v>943950</v>
      </c>
    </row>
    <row r="318" spans="1:23" x14ac:dyDescent="0.2">
      <c r="A318" s="23" t="str">
        <f>Data!B314</f>
        <v>6950</v>
      </c>
      <c r="B318" s="21" t="str">
        <f>INDEX(Data[],MATCH($A318,Data[Dist],0),MATCH(B$5,Data[#Headers],0))</f>
        <v>West Delaware Co</v>
      </c>
      <c r="C318" s="22">
        <f>IF(Notes!$B$2="June",ROUND('Budget by Source'!C318/10,0)+P318,ROUND('Budget by Source'!C318/10,0))</f>
        <v>20440</v>
      </c>
      <c r="D318" s="22">
        <f>IF(Notes!$B$2="June",ROUND('Budget by Source'!D318/10,0)+Q318,ROUND('Budget by Source'!D318/10,0))</f>
        <v>85611</v>
      </c>
      <c r="E318" s="22">
        <f>IF(Notes!$B$2="June",ROUND('Budget by Source'!E318/10,0)+R318,ROUND('Budget by Source'!E318/10,0))</f>
        <v>9311</v>
      </c>
      <c r="F318" s="22">
        <f>IF(Notes!$B$2="June",ROUND('Budget by Source'!F318/10,0)+S318,ROUND('Budget by Source'!F318/10,0))</f>
        <v>9491</v>
      </c>
      <c r="G318" s="22">
        <f>IF(Notes!$B$2="June",ROUND('Budget by Source'!G318/10,0)+T318,ROUND('Budget by Source'!G318/10,0))</f>
        <v>48166</v>
      </c>
      <c r="H318" s="22">
        <f t="shared" si="12"/>
        <v>637344</v>
      </c>
      <c r="I318" s="22">
        <f>INDEX(Data[],MATCH($A318,Data[Dist],0),MATCH(I$5,Data[#Headers],0))</f>
        <v>810363</v>
      </c>
      <c r="K318" s="70">
        <f>INDEX('Payment Total'!$A$7:$H$336,MATCH('Payment by Source'!$A318,'Payment Total'!$A$7:$A$336,0),6)-I318</f>
        <v>0</v>
      </c>
      <c r="P318" s="158">
        <f>INDEX('Budget by Source'!$A$6:$I$335,MATCH('Payment by Source'!$A318,'Budget by Source'!$A$6:$A$335,0),MATCH(P$3,'Budget by Source'!$A$5:$I$5,0))-(ROUND(INDEX('Budget by Source'!$A$6:$I$335,MATCH('Payment by Source'!$A318,'Budget by Source'!$A$6:$A$335,0),MATCH(P$3,'Budget by Source'!$A$5:$I$5,0))/10,0)*10)</f>
        <v>-4</v>
      </c>
      <c r="Q318" s="158">
        <f>INDEX('Budget by Source'!$A$6:$I$335,MATCH('Payment by Source'!$A318,'Budget by Source'!$A$6:$A$335,0),MATCH(Q$3,'Budget by Source'!$A$5:$I$5,0))-(ROUND(INDEX('Budget by Source'!$A$6:$I$335,MATCH('Payment by Source'!$A318,'Budget by Source'!$A$6:$A$335,0),MATCH(Q$3,'Budget by Source'!$A$5:$I$5,0))/10,0)*10)</f>
        <v>2</v>
      </c>
      <c r="R318" s="158">
        <f>INDEX('Budget by Source'!$A$6:$I$335,MATCH('Payment by Source'!$A318,'Budget by Source'!$A$6:$A$335,0),MATCH(R$3,'Budget by Source'!$A$5:$I$5,0))-(ROUND(INDEX('Budget by Source'!$A$6:$I$335,MATCH('Payment by Source'!$A318,'Budget by Source'!$A$6:$A$335,0),MATCH(R$3,'Budget by Source'!$A$5:$I$5,0))/10,0)*10)</f>
        <v>1</v>
      </c>
      <c r="S318" s="158">
        <f>INDEX('Budget by Source'!$A$6:$I$335,MATCH('Payment by Source'!$A318,'Budget by Source'!$A$6:$A$335,0),MATCH(S$3,'Budget by Source'!$A$5:$I$5,0))-(ROUND(INDEX('Budget by Source'!$A$6:$I$335,MATCH('Payment by Source'!$A318,'Budget by Source'!$A$6:$A$335,0),MATCH(S$3,'Budget by Source'!$A$5:$I$5,0))/10,0)*10)</f>
        <v>-1</v>
      </c>
      <c r="T318" s="158">
        <f>INDEX('Budget by Source'!$A$6:$I$335,MATCH('Payment by Source'!$A318,'Budget by Source'!$A$6:$A$335,0),MATCH(T$3,'Budget by Source'!$A$5:$I$5,0))-(ROUND(INDEX('Budget by Source'!$A$6:$I$335,MATCH('Payment by Source'!$A318,'Budget by Source'!$A$6:$A$335,0),MATCH(T$3,'Budget by Source'!$A$5:$I$5,0))/10,0)*10)</f>
        <v>-5</v>
      </c>
      <c r="U318" s="159">
        <f>INDEX('Budget by Source'!$A$6:$I$335,MATCH('Payment by Source'!$A318,'Budget by Source'!$A$6:$A$335,0),MATCH(U$3,'Budget by Source'!$A$5:$I$5,0))</f>
        <v>6397421</v>
      </c>
      <c r="V318" s="156">
        <f t="shared" si="13"/>
        <v>639742</v>
      </c>
      <c r="W318" s="156">
        <f t="shared" si="14"/>
        <v>6397420</v>
      </c>
    </row>
    <row r="319" spans="1:23" x14ac:dyDescent="0.2">
      <c r="A319" s="23" t="str">
        <f>Data!B315</f>
        <v>6957</v>
      </c>
      <c r="B319" s="21" t="str">
        <f>INDEX(Data[],MATCH($A319,Data[Dist],0),MATCH(B$5,Data[#Headers],0))</f>
        <v>West Des Moines</v>
      </c>
      <c r="C319" s="22">
        <f>IF(Notes!$B$2="June",ROUND('Budget by Source'!C319/10,0)+P319,ROUND('Budget by Source'!C319/10,0))</f>
        <v>136071</v>
      </c>
      <c r="D319" s="22">
        <f>IF(Notes!$B$2="June",ROUND('Budget by Source'!D319/10,0)+Q319,ROUND('Budget by Source'!D319/10,0))</f>
        <v>493523</v>
      </c>
      <c r="E319" s="22">
        <f>IF(Notes!$B$2="June",ROUND('Budget by Source'!E319/10,0)+R319,ROUND('Budget by Source'!E319/10,0))</f>
        <v>55016</v>
      </c>
      <c r="F319" s="22">
        <f>IF(Notes!$B$2="June",ROUND('Budget by Source'!F319/10,0)+S319,ROUND('Budget by Source'!F319/10,0))</f>
        <v>56236</v>
      </c>
      <c r="G319" s="22">
        <f>IF(Notes!$B$2="June",ROUND('Budget by Source'!G319/10,0)+T319,ROUND('Budget by Source'!G319/10,0))</f>
        <v>291170</v>
      </c>
      <c r="H319" s="22">
        <f t="shared" si="12"/>
        <v>3293125</v>
      </c>
      <c r="I319" s="22">
        <f>INDEX(Data[],MATCH($A319,Data[Dist],0),MATCH(I$5,Data[#Headers],0))</f>
        <v>4325141</v>
      </c>
      <c r="K319" s="70">
        <f>INDEX('Payment Total'!$A$7:$H$336,MATCH('Payment by Source'!$A319,'Payment Total'!$A$7:$A$336,0),6)-I319</f>
        <v>0</v>
      </c>
      <c r="P319" s="158">
        <f>INDEX('Budget by Source'!$A$6:$I$335,MATCH('Payment by Source'!$A319,'Budget by Source'!$A$6:$A$335,0),MATCH(P$3,'Budget by Source'!$A$5:$I$5,0))-(ROUND(INDEX('Budget by Source'!$A$6:$I$335,MATCH('Payment by Source'!$A319,'Budget by Source'!$A$6:$A$335,0),MATCH(P$3,'Budget by Source'!$A$5:$I$5,0))/10,0)*10)</f>
        <v>4</v>
      </c>
      <c r="Q319" s="158">
        <f>INDEX('Budget by Source'!$A$6:$I$335,MATCH('Payment by Source'!$A319,'Budget by Source'!$A$6:$A$335,0),MATCH(Q$3,'Budget by Source'!$A$5:$I$5,0))-(ROUND(INDEX('Budget by Source'!$A$6:$I$335,MATCH('Payment by Source'!$A319,'Budget by Source'!$A$6:$A$335,0),MATCH(Q$3,'Budget by Source'!$A$5:$I$5,0))/10,0)*10)</f>
        <v>1</v>
      </c>
      <c r="R319" s="158">
        <f>INDEX('Budget by Source'!$A$6:$I$335,MATCH('Payment by Source'!$A319,'Budget by Source'!$A$6:$A$335,0),MATCH(R$3,'Budget by Source'!$A$5:$I$5,0))-(ROUND(INDEX('Budget by Source'!$A$6:$I$335,MATCH('Payment by Source'!$A319,'Budget by Source'!$A$6:$A$335,0),MATCH(R$3,'Budget by Source'!$A$5:$I$5,0))/10,0)*10)</f>
        <v>1</v>
      </c>
      <c r="S319" s="158">
        <f>INDEX('Budget by Source'!$A$6:$I$335,MATCH('Payment by Source'!$A319,'Budget by Source'!$A$6:$A$335,0),MATCH(S$3,'Budget by Source'!$A$5:$I$5,0))-(ROUND(INDEX('Budget by Source'!$A$6:$I$335,MATCH('Payment by Source'!$A319,'Budget by Source'!$A$6:$A$335,0),MATCH(S$3,'Budget by Source'!$A$5:$I$5,0))/10,0)*10)</f>
        <v>-1</v>
      </c>
      <c r="T319" s="158">
        <f>INDEX('Budget by Source'!$A$6:$I$335,MATCH('Payment by Source'!$A319,'Budget by Source'!$A$6:$A$335,0),MATCH(T$3,'Budget by Source'!$A$5:$I$5,0))-(ROUND(INDEX('Budget by Source'!$A$6:$I$335,MATCH('Payment by Source'!$A319,'Budget by Source'!$A$6:$A$335,0),MATCH(T$3,'Budget by Source'!$A$5:$I$5,0))/10,0)*10)</f>
        <v>-3</v>
      </c>
      <c r="U319" s="159">
        <f>INDEX('Budget by Source'!$A$6:$I$335,MATCH('Payment by Source'!$A319,'Budget by Source'!$A$6:$A$335,0),MATCH(U$3,'Budget by Source'!$A$5:$I$5,0))</f>
        <v>33079773</v>
      </c>
      <c r="V319" s="156">
        <f t="shared" si="13"/>
        <v>3307977</v>
      </c>
      <c r="W319" s="156">
        <f t="shared" si="14"/>
        <v>33079770</v>
      </c>
    </row>
    <row r="320" spans="1:23" x14ac:dyDescent="0.2">
      <c r="A320" s="23" t="str">
        <f>Data!B316</f>
        <v>6961</v>
      </c>
      <c r="B320" s="21" t="str">
        <f>INDEX(Data[],MATCH($A320,Data[Dist],0),MATCH(B$5,Data[#Headers],0))</f>
        <v>Western Dubuque Co</v>
      </c>
      <c r="C320" s="22">
        <f>IF(Notes!$B$2="June",ROUND('Budget by Source'!C320/10,0)+P320,ROUND('Budget by Source'!C320/10,0))</f>
        <v>89817</v>
      </c>
      <c r="D320" s="22">
        <f>IF(Notes!$B$2="June",ROUND('Budget by Source'!D320/10,0)+Q320,ROUND('Budget by Source'!D320/10,0))</f>
        <v>179358</v>
      </c>
      <c r="E320" s="22">
        <f>IF(Notes!$B$2="June",ROUND('Budget by Source'!E320/10,0)+R320,ROUND('Budget by Source'!E320/10,0))</f>
        <v>20522</v>
      </c>
      <c r="F320" s="22">
        <f>IF(Notes!$B$2="June",ROUND('Budget by Source'!F320/10,0)+S320,ROUND('Budget by Source'!F320/10,0))</f>
        <v>19921</v>
      </c>
      <c r="G320" s="22">
        <f>IF(Notes!$B$2="June",ROUND('Budget by Source'!G320/10,0)+T320,ROUND('Budget by Source'!G320/10,0))</f>
        <v>101795</v>
      </c>
      <c r="H320" s="22">
        <f t="shared" si="12"/>
        <v>1232908</v>
      </c>
      <c r="I320" s="22">
        <f>INDEX(Data[],MATCH($A320,Data[Dist],0),MATCH(I$5,Data[#Headers],0))</f>
        <v>1644321</v>
      </c>
      <c r="K320" s="70">
        <f>INDEX('Payment Total'!$A$7:$H$336,MATCH('Payment by Source'!$A320,'Payment Total'!$A$7:$A$336,0),6)-I320</f>
        <v>0</v>
      </c>
      <c r="P320" s="158">
        <f>INDEX('Budget by Source'!$A$6:$I$335,MATCH('Payment by Source'!$A320,'Budget by Source'!$A$6:$A$335,0),MATCH(P$3,'Budget by Source'!$A$5:$I$5,0))-(ROUND(INDEX('Budget by Source'!$A$6:$I$335,MATCH('Payment by Source'!$A320,'Budget by Source'!$A$6:$A$335,0),MATCH(P$3,'Budget by Source'!$A$5:$I$5,0))/10,0)*10)</f>
        <v>-1</v>
      </c>
      <c r="Q320" s="158">
        <f>INDEX('Budget by Source'!$A$6:$I$335,MATCH('Payment by Source'!$A320,'Budget by Source'!$A$6:$A$335,0),MATCH(Q$3,'Budget by Source'!$A$5:$I$5,0))-(ROUND(INDEX('Budget by Source'!$A$6:$I$335,MATCH('Payment by Source'!$A320,'Budget by Source'!$A$6:$A$335,0),MATCH(Q$3,'Budget by Source'!$A$5:$I$5,0))/10,0)*10)</f>
        <v>-3</v>
      </c>
      <c r="R320" s="158">
        <f>INDEX('Budget by Source'!$A$6:$I$335,MATCH('Payment by Source'!$A320,'Budget by Source'!$A$6:$A$335,0),MATCH(R$3,'Budget by Source'!$A$5:$I$5,0))-(ROUND(INDEX('Budget by Source'!$A$6:$I$335,MATCH('Payment by Source'!$A320,'Budget by Source'!$A$6:$A$335,0),MATCH(R$3,'Budget by Source'!$A$5:$I$5,0))/10,0)*10)</f>
        <v>0</v>
      </c>
      <c r="S320" s="158">
        <f>INDEX('Budget by Source'!$A$6:$I$335,MATCH('Payment by Source'!$A320,'Budget by Source'!$A$6:$A$335,0),MATCH(S$3,'Budget by Source'!$A$5:$I$5,0))-(ROUND(INDEX('Budget by Source'!$A$6:$I$335,MATCH('Payment by Source'!$A320,'Budget by Source'!$A$6:$A$335,0),MATCH(S$3,'Budget by Source'!$A$5:$I$5,0))/10,0)*10)</f>
        <v>-3</v>
      </c>
      <c r="T320" s="158">
        <f>INDEX('Budget by Source'!$A$6:$I$335,MATCH('Payment by Source'!$A320,'Budget by Source'!$A$6:$A$335,0),MATCH(T$3,'Budget by Source'!$A$5:$I$5,0))-(ROUND(INDEX('Budget by Source'!$A$6:$I$335,MATCH('Payment by Source'!$A320,'Budget by Source'!$A$6:$A$335,0),MATCH(T$3,'Budget by Source'!$A$5:$I$5,0))/10,0)*10)</f>
        <v>-3</v>
      </c>
      <c r="U320" s="159">
        <f>INDEX('Budget by Source'!$A$6:$I$335,MATCH('Payment by Source'!$A320,'Budget by Source'!$A$6:$A$335,0),MATCH(U$3,'Budget by Source'!$A$5:$I$5,0))</f>
        <v>12380597</v>
      </c>
      <c r="V320" s="156">
        <f t="shared" si="13"/>
        <v>1238060</v>
      </c>
      <c r="W320" s="156">
        <f t="shared" si="14"/>
        <v>12380600</v>
      </c>
    </row>
    <row r="321" spans="1:23" x14ac:dyDescent="0.2">
      <c r="A321" s="23" t="str">
        <f>Data!B317</f>
        <v>6969</v>
      </c>
      <c r="B321" s="21" t="str">
        <f>INDEX(Data[],MATCH($A321,Data[Dist],0),MATCH(B$5,Data[#Headers],0))</f>
        <v>West Harrison</v>
      </c>
      <c r="C321" s="22">
        <f>IF(Notes!$B$2="June",ROUND('Budget by Source'!C321/10,0)+P321,ROUND('Budget by Source'!C321/10,0))</f>
        <v>6365</v>
      </c>
      <c r="D321" s="22">
        <f>IF(Notes!$B$2="June",ROUND('Budget by Source'!D321/10,0)+Q321,ROUND('Budget by Source'!D321/10,0))</f>
        <v>20650</v>
      </c>
      <c r="E321" s="22">
        <f>IF(Notes!$B$2="June",ROUND('Budget by Source'!E321/10,0)+R321,ROUND('Budget by Source'!E321/10,0))</f>
        <v>1897</v>
      </c>
      <c r="F321" s="22">
        <f>IF(Notes!$B$2="June",ROUND('Budget by Source'!F321/10,0)+S321,ROUND('Budget by Source'!F321/10,0))</f>
        <v>2256</v>
      </c>
      <c r="G321" s="22">
        <f>IF(Notes!$B$2="June",ROUND('Budget by Source'!G321/10,0)+T321,ROUND('Budget by Source'!G321/10,0))</f>
        <v>11296</v>
      </c>
      <c r="H321" s="22">
        <f t="shared" si="12"/>
        <v>133057</v>
      </c>
      <c r="I321" s="22">
        <f>INDEX(Data[],MATCH($A321,Data[Dist],0),MATCH(I$5,Data[#Headers],0))</f>
        <v>175521</v>
      </c>
      <c r="K321" s="70">
        <f>INDEX('Payment Total'!$A$7:$H$336,MATCH('Payment by Source'!$A321,'Payment Total'!$A$7:$A$336,0),6)-I321</f>
        <v>0</v>
      </c>
      <c r="P321" s="158">
        <f>INDEX('Budget by Source'!$A$6:$I$335,MATCH('Payment by Source'!$A321,'Budget by Source'!$A$6:$A$335,0),MATCH(P$3,'Budget by Source'!$A$5:$I$5,0))-(ROUND(INDEX('Budget by Source'!$A$6:$I$335,MATCH('Payment by Source'!$A321,'Budget by Source'!$A$6:$A$335,0),MATCH(P$3,'Budget by Source'!$A$5:$I$5,0))/10,0)*10)</f>
        <v>-3</v>
      </c>
      <c r="Q321" s="158">
        <f>INDEX('Budget by Source'!$A$6:$I$335,MATCH('Payment by Source'!$A321,'Budget by Source'!$A$6:$A$335,0),MATCH(Q$3,'Budget by Source'!$A$5:$I$5,0))-(ROUND(INDEX('Budget by Source'!$A$6:$I$335,MATCH('Payment by Source'!$A321,'Budget by Source'!$A$6:$A$335,0),MATCH(Q$3,'Budget by Source'!$A$5:$I$5,0))/10,0)*10)</f>
        <v>0</v>
      </c>
      <c r="R321" s="158">
        <f>INDEX('Budget by Source'!$A$6:$I$335,MATCH('Payment by Source'!$A321,'Budget by Source'!$A$6:$A$335,0),MATCH(R$3,'Budget by Source'!$A$5:$I$5,0))-(ROUND(INDEX('Budget by Source'!$A$6:$I$335,MATCH('Payment by Source'!$A321,'Budget by Source'!$A$6:$A$335,0),MATCH(R$3,'Budget by Source'!$A$5:$I$5,0))/10,0)*10)</f>
        <v>-2</v>
      </c>
      <c r="S321" s="158">
        <f>INDEX('Budget by Source'!$A$6:$I$335,MATCH('Payment by Source'!$A321,'Budget by Source'!$A$6:$A$335,0),MATCH(S$3,'Budget by Source'!$A$5:$I$5,0))-(ROUND(INDEX('Budget by Source'!$A$6:$I$335,MATCH('Payment by Source'!$A321,'Budget by Source'!$A$6:$A$335,0),MATCH(S$3,'Budget by Source'!$A$5:$I$5,0))/10,0)*10)</f>
        <v>2</v>
      </c>
      <c r="T321" s="158">
        <f>INDEX('Budget by Source'!$A$6:$I$335,MATCH('Payment by Source'!$A321,'Budget by Source'!$A$6:$A$335,0),MATCH(T$3,'Budget by Source'!$A$5:$I$5,0))-(ROUND(INDEX('Budget by Source'!$A$6:$I$335,MATCH('Payment by Source'!$A321,'Budget by Source'!$A$6:$A$335,0),MATCH(T$3,'Budget by Source'!$A$5:$I$5,0))/10,0)*10)</f>
        <v>-1</v>
      </c>
      <c r="U321" s="159">
        <f>INDEX('Budget by Source'!$A$6:$I$335,MATCH('Payment by Source'!$A321,'Budget by Source'!$A$6:$A$335,0),MATCH(U$3,'Budget by Source'!$A$5:$I$5,0))</f>
        <v>1395256</v>
      </c>
      <c r="V321" s="156">
        <f t="shared" si="13"/>
        <v>139526</v>
      </c>
      <c r="W321" s="156">
        <f t="shared" si="14"/>
        <v>1395260</v>
      </c>
    </row>
    <row r="322" spans="1:23" x14ac:dyDescent="0.2">
      <c r="A322" s="23" t="str">
        <f>Data!B318</f>
        <v>6975</v>
      </c>
      <c r="B322" s="21" t="str">
        <f>INDEX(Data[],MATCH($A322,Data[Dist],0),MATCH(B$5,Data[#Headers],0))</f>
        <v>West Liberty</v>
      </c>
      <c r="C322" s="22">
        <f>IF(Notes!$B$2="June",ROUND('Budget by Source'!C322/10,0)+P322,ROUND('Budget by Source'!C322/10,0))</f>
        <v>29488</v>
      </c>
      <c r="D322" s="22">
        <f>IF(Notes!$B$2="June",ROUND('Budget by Source'!D322/10,0)+Q322,ROUND('Budget by Source'!D322/10,0))</f>
        <v>80810</v>
      </c>
      <c r="E322" s="22">
        <f>IF(Notes!$B$2="June",ROUND('Budget by Source'!E322/10,0)+R322,ROUND('Budget by Source'!E322/10,0))</f>
        <v>11110</v>
      </c>
      <c r="F322" s="22">
        <f>IF(Notes!$B$2="June",ROUND('Budget by Source'!F322/10,0)+S322,ROUND('Budget by Source'!F322/10,0))</f>
        <v>8438</v>
      </c>
      <c r="G322" s="22">
        <f>IF(Notes!$B$2="June",ROUND('Budget by Source'!G322/10,0)+T322,ROUND('Budget by Source'!G322/10,0))</f>
        <v>44965</v>
      </c>
      <c r="H322" s="22">
        <f t="shared" si="12"/>
        <v>792765</v>
      </c>
      <c r="I322" s="22">
        <f>INDEX(Data[],MATCH($A322,Data[Dist],0),MATCH(I$5,Data[#Headers],0))</f>
        <v>967576</v>
      </c>
      <c r="K322" s="70">
        <f>INDEX('Payment Total'!$A$7:$H$336,MATCH('Payment by Source'!$A322,'Payment Total'!$A$7:$A$336,0),6)-I322</f>
        <v>0</v>
      </c>
      <c r="P322" s="158">
        <f>INDEX('Budget by Source'!$A$6:$I$335,MATCH('Payment by Source'!$A322,'Budget by Source'!$A$6:$A$335,0),MATCH(P$3,'Budget by Source'!$A$5:$I$5,0))-(ROUND(INDEX('Budget by Source'!$A$6:$I$335,MATCH('Payment by Source'!$A322,'Budget by Source'!$A$6:$A$335,0),MATCH(P$3,'Budget by Source'!$A$5:$I$5,0))/10,0)*10)</f>
        <v>-5</v>
      </c>
      <c r="Q322" s="158">
        <f>INDEX('Budget by Source'!$A$6:$I$335,MATCH('Payment by Source'!$A322,'Budget by Source'!$A$6:$A$335,0),MATCH(Q$3,'Budget by Source'!$A$5:$I$5,0))-(ROUND(INDEX('Budget by Source'!$A$6:$I$335,MATCH('Payment by Source'!$A322,'Budget by Source'!$A$6:$A$335,0),MATCH(Q$3,'Budget by Source'!$A$5:$I$5,0))/10,0)*10)</f>
        <v>2</v>
      </c>
      <c r="R322" s="158">
        <f>INDEX('Budget by Source'!$A$6:$I$335,MATCH('Payment by Source'!$A322,'Budget by Source'!$A$6:$A$335,0),MATCH(R$3,'Budget by Source'!$A$5:$I$5,0))-(ROUND(INDEX('Budget by Source'!$A$6:$I$335,MATCH('Payment by Source'!$A322,'Budget by Source'!$A$6:$A$335,0),MATCH(R$3,'Budget by Source'!$A$5:$I$5,0))/10,0)*10)</f>
        <v>-2</v>
      </c>
      <c r="S322" s="158">
        <f>INDEX('Budget by Source'!$A$6:$I$335,MATCH('Payment by Source'!$A322,'Budget by Source'!$A$6:$A$335,0),MATCH(S$3,'Budget by Source'!$A$5:$I$5,0))-(ROUND(INDEX('Budget by Source'!$A$6:$I$335,MATCH('Payment by Source'!$A322,'Budget by Source'!$A$6:$A$335,0),MATCH(S$3,'Budget by Source'!$A$5:$I$5,0))/10,0)*10)</f>
        <v>-4</v>
      </c>
      <c r="T322" s="158">
        <f>INDEX('Budget by Source'!$A$6:$I$335,MATCH('Payment by Source'!$A322,'Budget by Source'!$A$6:$A$335,0),MATCH(T$3,'Budget by Source'!$A$5:$I$5,0))-(ROUND(INDEX('Budget by Source'!$A$6:$I$335,MATCH('Payment by Source'!$A322,'Budget by Source'!$A$6:$A$335,0),MATCH(T$3,'Budget by Source'!$A$5:$I$5,0))/10,0)*10)</f>
        <v>3</v>
      </c>
      <c r="U322" s="159">
        <f>INDEX('Budget by Source'!$A$6:$I$335,MATCH('Payment by Source'!$A322,'Budget by Source'!$A$6:$A$335,0),MATCH(U$3,'Budget by Source'!$A$5:$I$5,0))</f>
        <v>7950528</v>
      </c>
      <c r="V322" s="156">
        <f t="shared" si="13"/>
        <v>795053</v>
      </c>
      <c r="W322" s="156">
        <f t="shared" si="14"/>
        <v>7950530</v>
      </c>
    </row>
    <row r="323" spans="1:23" x14ac:dyDescent="0.2">
      <c r="A323" s="23" t="str">
        <f>Data!B319</f>
        <v>6983</v>
      </c>
      <c r="B323" s="21" t="str">
        <f>INDEX(Data[],MATCH($A323,Data[Dist],0),MATCH(B$5,Data[#Headers],0))</f>
        <v>West Lyon</v>
      </c>
      <c r="C323" s="22">
        <f>IF(Notes!$B$2="June",ROUND('Budget by Source'!C323/10,0)+P323,ROUND('Budget by Source'!C323/10,0))</f>
        <v>15749</v>
      </c>
      <c r="D323" s="22">
        <f>IF(Notes!$B$2="June",ROUND('Budget by Source'!D323/10,0)+Q323,ROUND('Budget by Source'!D323/10,0))</f>
        <v>50416</v>
      </c>
      <c r="E323" s="22">
        <f>IF(Notes!$B$2="June",ROUND('Budget by Source'!E323/10,0)+R323,ROUND('Budget by Source'!E323/10,0))</f>
        <v>5778</v>
      </c>
      <c r="F323" s="22">
        <f>IF(Notes!$B$2="June",ROUND('Budget by Source'!F323/10,0)+S323,ROUND('Budget by Source'!F323/10,0))</f>
        <v>5670</v>
      </c>
      <c r="G323" s="22">
        <f>IF(Notes!$B$2="June",ROUND('Budget by Source'!G323/10,0)+T323,ROUND('Budget by Source'!G323/10,0))</f>
        <v>30136</v>
      </c>
      <c r="H323" s="22">
        <f t="shared" si="12"/>
        <v>377756</v>
      </c>
      <c r="I323" s="22">
        <f>INDEX(Data[],MATCH($A323,Data[Dist],0),MATCH(I$5,Data[#Headers],0))</f>
        <v>485505</v>
      </c>
      <c r="K323" s="70">
        <f>INDEX('Payment Total'!$A$7:$H$336,MATCH('Payment by Source'!$A323,'Payment Total'!$A$7:$A$336,0),6)-I323</f>
        <v>0</v>
      </c>
      <c r="P323" s="158">
        <f>INDEX('Budget by Source'!$A$6:$I$335,MATCH('Payment by Source'!$A323,'Budget by Source'!$A$6:$A$335,0),MATCH(P$3,'Budget by Source'!$A$5:$I$5,0))-(ROUND(INDEX('Budget by Source'!$A$6:$I$335,MATCH('Payment by Source'!$A323,'Budget by Source'!$A$6:$A$335,0),MATCH(P$3,'Budget by Source'!$A$5:$I$5,0))/10,0)*10)</f>
        <v>-3</v>
      </c>
      <c r="Q323" s="158">
        <f>INDEX('Budget by Source'!$A$6:$I$335,MATCH('Payment by Source'!$A323,'Budget by Source'!$A$6:$A$335,0),MATCH(Q$3,'Budget by Source'!$A$5:$I$5,0))-(ROUND(INDEX('Budget by Source'!$A$6:$I$335,MATCH('Payment by Source'!$A323,'Budget by Source'!$A$6:$A$335,0),MATCH(Q$3,'Budget by Source'!$A$5:$I$5,0))/10,0)*10)</f>
        <v>4</v>
      </c>
      <c r="R323" s="158">
        <f>INDEX('Budget by Source'!$A$6:$I$335,MATCH('Payment by Source'!$A323,'Budget by Source'!$A$6:$A$335,0),MATCH(R$3,'Budget by Source'!$A$5:$I$5,0))-(ROUND(INDEX('Budget by Source'!$A$6:$I$335,MATCH('Payment by Source'!$A323,'Budget by Source'!$A$6:$A$335,0),MATCH(R$3,'Budget by Source'!$A$5:$I$5,0))/10,0)*10)</f>
        <v>-3</v>
      </c>
      <c r="S323" s="158">
        <f>INDEX('Budget by Source'!$A$6:$I$335,MATCH('Payment by Source'!$A323,'Budget by Source'!$A$6:$A$335,0),MATCH(S$3,'Budget by Source'!$A$5:$I$5,0))-(ROUND(INDEX('Budget by Source'!$A$6:$I$335,MATCH('Payment by Source'!$A323,'Budget by Source'!$A$6:$A$335,0),MATCH(S$3,'Budget by Source'!$A$5:$I$5,0))/10,0)*10)</f>
        <v>1</v>
      </c>
      <c r="T323" s="158">
        <f>INDEX('Budget by Source'!$A$6:$I$335,MATCH('Payment by Source'!$A323,'Budget by Source'!$A$6:$A$335,0),MATCH(T$3,'Budget by Source'!$A$5:$I$5,0))-(ROUND(INDEX('Budget by Source'!$A$6:$I$335,MATCH('Payment by Source'!$A323,'Budget by Source'!$A$6:$A$335,0),MATCH(T$3,'Budget by Source'!$A$5:$I$5,0))/10,0)*10)</f>
        <v>0</v>
      </c>
      <c r="U323" s="159">
        <f>INDEX('Budget by Source'!$A$6:$I$335,MATCH('Payment by Source'!$A323,'Budget by Source'!$A$6:$A$335,0),MATCH(U$3,'Budget by Source'!$A$5:$I$5,0))</f>
        <v>3792919</v>
      </c>
      <c r="V323" s="156">
        <f t="shared" si="13"/>
        <v>379292</v>
      </c>
      <c r="W323" s="156">
        <f t="shared" si="14"/>
        <v>3792920</v>
      </c>
    </row>
    <row r="324" spans="1:23" x14ac:dyDescent="0.2">
      <c r="A324" s="23" t="str">
        <f>Data!B320</f>
        <v>6985</v>
      </c>
      <c r="B324" s="21" t="str">
        <f>INDEX(Data[],MATCH($A324,Data[Dist],0),MATCH(B$5,Data[#Headers],0))</f>
        <v>West Marshall</v>
      </c>
      <c r="C324" s="22">
        <f>IF(Notes!$B$2="June",ROUND('Budget by Source'!C324/10,0)+P324,ROUND('Budget by Source'!C324/10,0))</f>
        <v>16758</v>
      </c>
      <c r="D324" s="22">
        <f>IF(Notes!$B$2="June",ROUND('Budget by Source'!D324/10,0)+Q324,ROUND('Budget by Source'!D324/10,0))</f>
        <v>52041</v>
      </c>
      <c r="E324" s="22">
        <f>IF(Notes!$B$2="June",ROUND('Budget by Source'!E324/10,0)+R324,ROUND('Budget by Source'!E324/10,0))</f>
        <v>6262</v>
      </c>
      <c r="F324" s="22">
        <f>IF(Notes!$B$2="June",ROUND('Budget by Source'!F324/10,0)+S324,ROUND('Budget by Source'!F324/10,0))</f>
        <v>5080</v>
      </c>
      <c r="G324" s="22">
        <f>IF(Notes!$B$2="June",ROUND('Budget by Source'!G324/10,0)+T324,ROUND('Budget by Source'!G324/10,0))</f>
        <v>29255</v>
      </c>
      <c r="H324" s="22">
        <f t="shared" si="12"/>
        <v>435648</v>
      </c>
      <c r="I324" s="22">
        <f>INDEX(Data[],MATCH($A324,Data[Dist],0),MATCH(I$5,Data[#Headers],0))</f>
        <v>545044</v>
      </c>
      <c r="K324" s="70">
        <f>INDEX('Payment Total'!$A$7:$H$336,MATCH('Payment by Source'!$A324,'Payment Total'!$A$7:$A$336,0),6)-I324</f>
        <v>0</v>
      </c>
      <c r="P324" s="158">
        <f>INDEX('Budget by Source'!$A$6:$I$335,MATCH('Payment by Source'!$A324,'Budget by Source'!$A$6:$A$335,0),MATCH(P$3,'Budget by Source'!$A$5:$I$5,0))-(ROUND(INDEX('Budget by Source'!$A$6:$I$335,MATCH('Payment by Source'!$A324,'Budget by Source'!$A$6:$A$335,0),MATCH(P$3,'Budget by Source'!$A$5:$I$5,0))/10,0)*10)</f>
        <v>1</v>
      </c>
      <c r="Q324" s="158">
        <f>INDEX('Budget by Source'!$A$6:$I$335,MATCH('Payment by Source'!$A324,'Budget by Source'!$A$6:$A$335,0),MATCH(Q$3,'Budget by Source'!$A$5:$I$5,0))-(ROUND(INDEX('Budget by Source'!$A$6:$I$335,MATCH('Payment by Source'!$A324,'Budget by Source'!$A$6:$A$335,0),MATCH(Q$3,'Budget by Source'!$A$5:$I$5,0))/10,0)*10)</f>
        <v>2</v>
      </c>
      <c r="R324" s="158">
        <f>INDEX('Budget by Source'!$A$6:$I$335,MATCH('Payment by Source'!$A324,'Budget by Source'!$A$6:$A$335,0),MATCH(R$3,'Budget by Source'!$A$5:$I$5,0))-(ROUND(INDEX('Budget by Source'!$A$6:$I$335,MATCH('Payment by Source'!$A324,'Budget by Source'!$A$6:$A$335,0),MATCH(R$3,'Budget by Source'!$A$5:$I$5,0))/10,0)*10)</f>
        <v>1</v>
      </c>
      <c r="S324" s="158">
        <f>INDEX('Budget by Source'!$A$6:$I$335,MATCH('Payment by Source'!$A324,'Budget by Source'!$A$6:$A$335,0),MATCH(S$3,'Budget by Source'!$A$5:$I$5,0))-(ROUND(INDEX('Budget by Source'!$A$6:$I$335,MATCH('Payment by Source'!$A324,'Budget by Source'!$A$6:$A$335,0),MATCH(S$3,'Budget by Source'!$A$5:$I$5,0))/10,0)*10)</f>
        <v>-1</v>
      </c>
      <c r="T324" s="158">
        <f>INDEX('Budget by Source'!$A$6:$I$335,MATCH('Payment by Source'!$A324,'Budget by Source'!$A$6:$A$335,0),MATCH(T$3,'Budget by Source'!$A$5:$I$5,0))-(ROUND(INDEX('Budget by Source'!$A$6:$I$335,MATCH('Payment by Source'!$A324,'Budget by Source'!$A$6:$A$335,0),MATCH(T$3,'Budget by Source'!$A$5:$I$5,0))/10,0)*10)</f>
        <v>-3</v>
      </c>
      <c r="U324" s="159">
        <f>INDEX('Budget by Source'!$A$6:$I$335,MATCH('Payment by Source'!$A324,'Budget by Source'!$A$6:$A$335,0),MATCH(U$3,'Budget by Source'!$A$5:$I$5,0))</f>
        <v>4371418</v>
      </c>
      <c r="V324" s="156">
        <f t="shared" si="13"/>
        <v>437142</v>
      </c>
      <c r="W324" s="156">
        <f t="shared" si="14"/>
        <v>4371420</v>
      </c>
    </row>
    <row r="325" spans="1:23" x14ac:dyDescent="0.2">
      <c r="A325" s="23" t="str">
        <f>Data!B321</f>
        <v>6987</v>
      </c>
      <c r="B325" s="21" t="str">
        <f>INDEX(Data[],MATCH($A325,Data[Dist],0),MATCH(B$5,Data[#Headers],0))</f>
        <v>West Monona</v>
      </c>
      <c r="C325" s="22">
        <f>IF(Notes!$B$2="June",ROUND('Budget by Source'!C325/10,0)+P325,ROUND('Budget by Source'!C325/10,0))</f>
        <v>15085</v>
      </c>
      <c r="D325" s="22">
        <f>IF(Notes!$B$2="June",ROUND('Budget by Source'!D325/10,0)+Q325,ROUND('Budget by Source'!D325/10,0))</f>
        <v>38697</v>
      </c>
      <c r="E325" s="22">
        <f>IF(Notes!$B$2="June",ROUND('Budget by Source'!E325/10,0)+R325,ROUND('Budget by Source'!E325/10,0))</f>
        <v>4372</v>
      </c>
      <c r="F325" s="22">
        <f>IF(Notes!$B$2="June",ROUND('Budget by Source'!F325/10,0)+S325,ROUND('Budget by Source'!F325/10,0))</f>
        <v>4086</v>
      </c>
      <c r="G325" s="22">
        <f>IF(Notes!$B$2="June",ROUND('Budget by Source'!G325/10,0)+T325,ROUND('Budget by Source'!G325/10,0))</f>
        <v>20982</v>
      </c>
      <c r="H325" s="22">
        <f t="shared" si="12"/>
        <v>276080</v>
      </c>
      <c r="I325" s="22">
        <f>INDEX(Data[],MATCH($A325,Data[Dist],0),MATCH(I$5,Data[#Headers],0))</f>
        <v>359302</v>
      </c>
      <c r="K325" s="70">
        <f>INDEX('Payment Total'!$A$7:$H$336,MATCH('Payment by Source'!$A325,'Payment Total'!$A$7:$A$336,0),6)-I325</f>
        <v>0</v>
      </c>
      <c r="P325" s="158">
        <f>INDEX('Budget by Source'!$A$6:$I$335,MATCH('Payment by Source'!$A325,'Budget by Source'!$A$6:$A$335,0),MATCH(P$3,'Budget by Source'!$A$5:$I$5,0))-(ROUND(INDEX('Budget by Source'!$A$6:$I$335,MATCH('Payment by Source'!$A325,'Budget by Source'!$A$6:$A$335,0),MATCH(P$3,'Budget by Source'!$A$5:$I$5,0))/10,0)*10)</f>
        <v>4</v>
      </c>
      <c r="Q325" s="158">
        <f>INDEX('Budget by Source'!$A$6:$I$335,MATCH('Payment by Source'!$A325,'Budget by Source'!$A$6:$A$335,0),MATCH(Q$3,'Budget by Source'!$A$5:$I$5,0))-(ROUND(INDEX('Budget by Source'!$A$6:$I$335,MATCH('Payment by Source'!$A325,'Budget by Source'!$A$6:$A$335,0),MATCH(Q$3,'Budget by Source'!$A$5:$I$5,0))/10,0)*10)</f>
        <v>4</v>
      </c>
      <c r="R325" s="158">
        <f>INDEX('Budget by Source'!$A$6:$I$335,MATCH('Payment by Source'!$A325,'Budget by Source'!$A$6:$A$335,0),MATCH(R$3,'Budget by Source'!$A$5:$I$5,0))-(ROUND(INDEX('Budget by Source'!$A$6:$I$335,MATCH('Payment by Source'!$A325,'Budget by Source'!$A$6:$A$335,0),MATCH(R$3,'Budget by Source'!$A$5:$I$5,0))/10,0)*10)</f>
        <v>-4</v>
      </c>
      <c r="S325" s="158">
        <f>INDEX('Budget by Source'!$A$6:$I$335,MATCH('Payment by Source'!$A325,'Budget by Source'!$A$6:$A$335,0),MATCH(S$3,'Budget by Source'!$A$5:$I$5,0))-(ROUND(INDEX('Budget by Source'!$A$6:$I$335,MATCH('Payment by Source'!$A325,'Budget by Source'!$A$6:$A$335,0),MATCH(S$3,'Budget by Source'!$A$5:$I$5,0))/10,0)*10)</f>
        <v>-3</v>
      </c>
      <c r="T325" s="158">
        <f>INDEX('Budget by Source'!$A$6:$I$335,MATCH('Payment by Source'!$A325,'Budget by Source'!$A$6:$A$335,0),MATCH(T$3,'Budget by Source'!$A$5:$I$5,0))-(ROUND(INDEX('Budget by Source'!$A$6:$I$335,MATCH('Payment by Source'!$A325,'Budget by Source'!$A$6:$A$335,0),MATCH(T$3,'Budget by Source'!$A$5:$I$5,0))/10,0)*10)</f>
        <v>2</v>
      </c>
      <c r="U325" s="159">
        <f>INDEX('Budget by Source'!$A$6:$I$335,MATCH('Payment by Source'!$A325,'Budget by Source'!$A$6:$A$335,0),MATCH(U$3,'Budget by Source'!$A$5:$I$5,0))</f>
        <v>2775350</v>
      </c>
      <c r="V325" s="156">
        <f t="shared" si="13"/>
        <v>277535</v>
      </c>
      <c r="W325" s="156">
        <f t="shared" si="14"/>
        <v>2775350</v>
      </c>
    </row>
    <row r="326" spans="1:23" x14ac:dyDescent="0.2">
      <c r="A326" s="23" t="str">
        <f>Data!B322</f>
        <v>6990</v>
      </c>
      <c r="B326" s="21" t="str">
        <f>INDEX(Data[],MATCH($A326,Data[Dist],0),MATCH(B$5,Data[#Headers],0))</f>
        <v>West Sioux</v>
      </c>
      <c r="C326" s="22">
        <f>IF(Notes!$B$2="June",ROUND('Budget by Source'!C326/10,0)+P326,ROUND('Budget by Source'!C326/10,0))</f>
        <v>17431</v>
      </c>
      <c r="D326" s="22">
        <f>IF(Notes!$B$2="June",ROUND('Budget by Source'!D326/10,0)+Q326,ROUND('Budget by Source'!D326/10,0))</f>
        <v>51050</v>
      </c>
      <c r="E326" s="22">
        <f>IF(Notes!$B$2="June",ROUND('Budget by Source'!E326/10,0)+R326,ROUND('Budget by Source'!E326/10,0))</f>
        <v>6052</v>
      </c>
      <c r="F326" s="22">
        <f>IF(Notes!$B$2="June",ROUND('Budget by Source'!F326/10,0)+S326,ROUND('Budget by Source'!F326/10,0))</f>
        <v>5864</v>
      </c>
      <c r="G326" s="22">
        <f>IF(Notes!$B$2="June",ROUND('Budget by Source'!G326/10,0)+T326,ROUND('Budget by Source'!G326/10,0))</f>
        <v>27220</v>
      </c>
      <c r="H326" s="22">
        <f t="shared" si="12"/>
        <v>452190</v>
      </c>
      <c r="I326" s="22">
        <f>INDEX(Data[],MATCH($A326,Data[Dist],0),MATCH(I$5,Data[#Headers],0))</f>
        <v>559807</v>
      </c>
      <c r="K326" s="70">
        <f>INDEX('Payment Total'!$A$7:$H$336,MATCH('Payment by Source'!$A326,'Payment Total'!$A$7:$A$336,0),6)-I326</f>
        <v>0</v>
      </c>
      <c r="P326" s="158">
        <f>INDEX('Budget by Source'!$A$6:$I$335,MATCH('Payment by Source'!$A326,'Budget by Source'!$A$6:$A$335,0),MATCH(P$3,'Budget by Source'!$A$5:$I$5,0))-(ROUND(INDEX('Budget by Source'!$A$6:$I$335,MATCH('Payment by Source'!$A326,'Budget by Source'!$A$6:$A$335,0),MATCH(P$3,'Budget by Source'!$A$5:$I$5,0))/10,0)*10)</f>
        <v>4</v>
      </c>
      <c r="Q326" s="158">
        <f>INDEX('Budget by Source'!$A$6:$I$335,MATCH('Payment by Source'!$A326,'Budget by Source'!$A$6:$A$335,0),MATCH(Q$3,'Budget by Source'!$A$5:$I$5,0))-(ROUND(INDEX('Budget by Source'!$A$6:$I$335,MATCH('Payment by Source'!$A326,'Budget by Source'!$A$6:$A$335,0),MATCH(Q$3,'Budget by Source'!$A$5:$I$5,0))/10,0)*10)</f>
        <v>-4</v>
      </c>
      <c r="R326" s="158">
        <f>INDEX('Budget by Source'!$A$6:$I$335,MATCH('Payment by Source'!$A326,'Budget by Source'!$A$6:$A$335,0),MATCH(R$3,'Budget by Source'!$A$5:$I$5,0))-(ROUND(INDEX('Budget by Source'!$A$6:$I$335,MATCH('Payment by Source'!$A326,'Budget by Source'!$A$6:$A$335,0),MATCH(R$3,'Budget by Source'!$A$5:$I$5,0))/10,0)*10)</f>
        <v>4</v>
      </c>
      <c r="S326" s="158">
        <f>INDEX('Budget by Source'!$A$6:$I$335,MATCH('Payment by Source'!$A326,'Budget by Source'!$A$6:$A$335,0),MATCH(S$3,'Budget by Source'!$A$5:$I$5,0))-(ROUND(INDEX('Budget by Source'!$A$6:$I$335,MATCH('Payment by Source'!$A326,'Budget by Source'!$A$6:$A$335,0),MATCH(S$3,'Budget by Source'!$A$5:$I$5,0))/10,0)*10)</f>
        <v>-2</v>
      </c>
      <c r="T326" s="158">
        <f>INDEX('Budget by Source'!$A$6:$I$335,MATCH('Payment by Source'!$A326,'Budget by Source'!$A$6:$A$335,0),MATCH(T$3,'Budget by Source'!$A$5:$I$5,0))-(ROUND(INDEX('Budget by Source'!$A$6:$I$335,MATCH('Payment by Source'!$A326,'Budget by Source'!$A$6:$A$335,0),MATCH(T$3,'Budget by Source'!$A$5:$I$5,0))/10,0)*10)</f>
        <v>-4</v>
      </c>
      <c r="U326" s="159">
        <f>INDEX('Budget by Source'!$A$6:$I$335,MATCH('Payment by Source'!$A326,'Budget by Source'!$A$6:$A$335,0),MATCH(U$3,'Budget by Source'!$A$5:$I$5,0))</f>
        <v>4535757</v>
      </c>
      <c r="V326" s="156">
        <f t="shared" si="13"/>
        <v>453576</v>
      </c>
      <c r="W326" s="156">
        <f t="shared" si="14"/>
        <v>4535760</v>
      </c>
    </row>
    <row r="327" spans="1:23" x14ac:dyDescent="0.2">
      <c r="A327" s="23" t="str">
        <f>Data!B323</f>
        <v>6992</v>
      </c>
      <c r="B327" s="21" t="str">
        <f>INDEX(Data[],MATCH($A327,Data[Dist],0),MATCH(B$5,Data[#Headers],0))</f>
        <v>Westwood</v>
      </c>
      <c r="C327" s="22">
        <f>IF(Notes!$B$2="June",ROUND('Budget by Source'!C327/10,0)+P327,ROUND('Budget by Source'!C327/10,0))</f>
        <v>13066</v>
      </c>
      <c r="D327" s="22">
        <f>IF(Notes!$B$2="June",ROUND('Budget by Source'!D327/10,0)+Q327,ROUND('Budget by Source'!D327/10,0))</f>
        <v>32988</v>
      </c>
      <c r="E327" s="22">
        <f>IF(Notes!$B$2="June",ROUND('Budget by Source'!E327/10,0)+R327,ROUND('Budget by Source'!E327/10,0))</f>
        <v>3736</v>
      </c>
      <c r="F327" s="22">
        <f>IF(Notes!$B$2="June",ROUND('Budget by Source'!F327/10,0)+S327,ROUND('Budget by Source'!F327/10,0))</f>
        <v>3802</v>
      </c>
      <c r="G327" s="22">
        <f>IF(Notes!$B$2="June",ROUND('Budget by Source'!G327/10,0)+T327,ROUND('Budget by Source'!G327/10,0))</f>
        <v>17488</v>
      </c>
      <c r="H327" s="22">
        <f t="shared" ref="H327:H335" si="15">I327-SUM(C327:G327)</f>
        <v>169181</v>
      </c>
      <c r="I327" s="22">
        <f>INDEX(Data[],MATCH($A327,Data[Dist],0),MATCH(I$5,Data[#Headers],0))</f>
        <v>240261</v>
      </c>
      <c r="K327" s="70">
        <f>INDEX('Payment Total'!$A$7:$H$336,MATCH('Payment by Source'!$A327,'Payment Total'!$A$7:$A$336,0),6)-I327</f>
        <v>0</v>
      </c>
      <c r="P327" s="158">
        <f>INDEX('Budget by Source'!$A$6:$I$335,MATCH('Payment by Source'!$A327,'Budget by Source'!$A$6:$A$335,0),MATCH(P$3,'Budget by Source'!$A$5:$I$5,0))-(ROUND(INDEX('Budget by Source'!$A$6:$I$335,MATCH('Payment by Source'!$A327,'Budget by Source'!$A$6:$A$335,0),MATCH(P$3,'Budget by Source'!$A$5:$I$5,0))/10,0)*10)</f>
        <v>-5</v>
      </c>
      <c r="Q327" s="158">
        <f>INDEX('Budget by Source'!$A$6:$I$335,MATCH('Payment by Source'!$A327,'Budget by Source'!$A$6:$A$335,0),MATCH(Q$3,'Budget by Source'!$A$5:$I$5,0))-(ROUND(INDEX('Budget by Source'!$A$6:$I$335,MATCH('Payment by Source'!$A327,'Budget by Source'!$A$6:$A$335,0),MATCH(Q$3,'Budget by Source'!$A$5:$I$5,0))/10,0)*10)</f>
        <v>-3</v>
      </c>
      <c r="R327" s="158">
        <f>INDEX('Budget by Source'!$A$6:$I$335,MATCH('Payment by Source'!$A327,'Budget by Source'!$A$6:$A$335,0),MATCH(R$3,'Budget by Source'!$A$5:$I$5,0))-(ROUND(INDEX('Budget by Source'!$A$6:$I$335,MATCH('Payment by Source'!$A327,'Budget by Source'!$A$6:$A$335,0),MATCH(R$3,'Budget by Source'!$A$5:$I$5,0))/10,0)*10)</f>
        <v>-5</v>
      </c>
      <c r="S327" s="158">
        <f>INDEX('Budget by Source'!$A$6:$I$335,MATCH('Payment by Source'!$A327,'Budget by Source'!$A$6:$A$335,0),MATCH(S$3,'Budget by Source'!$A$5:$I$5,0))-(ROUND(INDEX('Budget by Source'!$A$6:$I$335,MATCH('Payment by Source'!$A327,'Budget by Source'!$A$6:$A$335,0),MATCH(S$3,'Budget by Source'!$A$5:$I$5,0))/10,0)*10)</f>
        <v>-5</v>
      </c>
      <c r="T327" s="158">
        <f>INDEX('Budget by Source'!$A$6:$I$335,MATCH('Payment by Source'!$A327,'Budget by Source'!$A$6:$A$335,0),MATCH(T$3,'Budget by Source'!$A$5:$I$5,0))-(ROUND(INDEX('Budget by Source'!$A$6:$I$335,MATCH('Payment by Source'!$A327,'Budget by Source'!$A$6:$A$335,0),MATCH(T$3,'Budget by Source'!$A$5:$I$5,0))/10,0)*10)</f>
        <v>-1</v>
      </c>
      <c r="U327" s="159">
        <f>INDEX('Budget by Source'!$A$6:$I$335,MATCH('Payment by Source'!$A327,'Budget by Source'!$A$6:$A$335,0),MATCH(U$3,'Budget by Source'!$A$5:$I$5,0))</f>
        <v>1700513</v>
      </c>
      <c r="V327" s="156">
        <f t="shared" ref="V327:V335" si="16">ROUND(U327/10,0)</f>
        <v>170051</v>
      </c>
      <c r="W327" s="156">
        <f t="shared" ref="W327:W335" si="17">V327*10</f>
        <v>1700510</v>
      </c>
    </row>
    <row r="328" spans="1:23" x14ac:dyDescent="0.2">
      <c r="A328" s="23" t="str">
        <f>Data!B324</f>
        <v>7002</v>
      </c>
      <c r="B328" s="21" t="str">
        <f>INDEX(Data[],MATCH($A328,Data[Dist],0),MATCH(B$5,Data[#Headers],0))</f>
        <v>Whiting</v>
      </c>
      <c r="C328" s="22">
        <f>IF(Notes!$B$2="June",ROUND('Budget by Source'!C328/10,0)+P328,ROUND('Budget by Source'!C328/10,0))</f>
        <v>3019</v>
      </c>
      <c r="D328" s="22">
        <f>IF(Notes!$B$2="June",ROUND('Budget by Source'!D328/10,0)+Q328,ROUND('Budget by Source'!D328/10,0))</f>
        <v>14688</v>
      </c>
      <c r="E328" s="22">
        <f>IF(Notes!$B$2="June",ROUND('Budget by Source'!E328/10,0)+R328,ROUND('Budget by Source'!E328/10,0))</f>
        <v>1820</v>
      </c>
      <c r="F328" s="22">
        <f>IF(Notes!$B$2="June",ROUND('Budget by Source'!F328/10,0)+S328,ROUND('Budget by Source'!F328/10,0))</f>
        <v>1658</v>
      </c>
      <c r="G328" s="22">
        <f>IF(Notes!$B$2="June",ROUND('Budget by Source'!G328/10,0)+T328,ROUND('Budget by Source'!G328/10,0))</f>
        <v>6698</v>
      </c>
      <c r="H328" s="22">
        <f t="shared" si="15"/>
        <v>84901</v>
      </c>
      <c r="I328" s="22">
        <f>INDEX(Data[],MATCH($A328,Data[Dist],0),MATCH(I$5,Data[#Headers],0))</f>
        <v>112784</v>
      </c>
      <c r="K328" s="70">
        <f>INDEX('Payment Total'!$A$7:$H$336,MATCH('Payment by Source'!$A328,'Payment Total'!$A$7:$A$336,0),6)-I328</f>
        <v>0</v>
      </c>
      <c r="P328" s="158">
        <f>INDEX('Budget by Source'!$A$6:$I$335,MATCH('Payment by Source'!$A328,'Budget by Source'!$A$6:$A$335,0),MATCH(P$3,'Budget by Source'!$A$5:$I$5,0))-(ROUND(INDEX('Budget by Source'!$A$6:$I$335,MATCH('Payment by Source'!$A328,'Budget by Source'!$A$6:$A$335,0),MATCH(P$3,'Budget by Source'!$A$5:$I$5,0))/10,0)*10)</f>
        <v>3</v>
      </c>
      <c r="Q328" s="158">
        <f>INDEX('Budget by Source'!$A$6:$I$335,MATCH('Payment by Source'!$A328,'Budget by Source'!$A$6:$A$335,0),MATCH(Q$3,'Budget by Source'!$A$5:$I$5,0))-(ROUND(INDEX('Budget by Source'!$A$6:$I$335,MATCH('Payment by Source'!$A328,'Budget by Source'!$A$6:$A$335,0),MATCH(Q$3,'Budget by Source'!$A$5:$I$5,0))/10,0)*10)</f>
        <v>-3</v>
      </c>
      <c r="R328" s="158">
        <f>INDEX('Budget by Source'!$A$6:$I$335,MATCH('Payment by Source'!$A328,'Budget by Source'!$A$6:$A$335,0),MATCH(R$3,'Budget by Source'!$A$5:$I$5,0))-(ROUND(INDEX('Budget by Source'!$A$6:$I$335,MATCH('Payment by Source'!$A328,'Budget by Source'!$A$6:$A$335,0),MATCH(R$3,'Budget by Source'!$A$5:$I$5,0))/10,0)*10)</f>
        <v>-4</v>
      </c>
      <c r="S328" s="158">
        <f>INDEX('Budget by Source'!$A$6:$I$335,MATCH('Payment by Source'!$A328,'Budget by Source'!$A$6:$A$335,0),MATCH(S$3,'Budget by Source'!$A$5:$I$5,0))-(ROUND(INDEX('Budget by Source'!$A$6:$I$335,MATCH('Payment by Source'!$A328,'Budget by Source'!$A$6:$A$335,0),MATCH(S$3,'Budget by Source'!$A$5:$I$5,0))/10,0)*10)</f>
        <v>2</v>
      </c>
      <c r="T328" s="158">
        <f>INDEX('Budget by Source'!$A$6:$I$335,MATCH('Payment by Source'!$A328,'Budget by Source'!$A$6:$A$335,0),MATCH(T$3,'Budget by Source'!$A$5:$I$5,0))-(ROUND(INDEX('Budget by Source'!$A$6:$I$335,MATCH('Payment by Source'!$A328,'Budget by Source'!$A$6:$A$335,0),MATCH(T$3,'Budget by Source'!$A$5:$I$5,0))/10,0)*10)</f>
        <v>-2</v>
      </c>
      <c r="U328" s="159">
        <f>INDEX('Budget by Source'!$A$6:$I$335,MATCH('Payment by Source'!$A328,'Budget by Source'!$A$6:$A$335,0),MATCH(U$3,'Budget by Source'!$A$5:$I$5,0))</f>
        <v>852408</v>
      </c>
      <c r="V328" s="156">
        <f t="shared" si="16"/>
        <v>85241</v>
      </c>
      <c r="W328" s="156">
        <f t="shared" si="17"/>
        <v>852410</v>
      </c>
    </row>
    <row r="329" spans="1:23" x14ac:dyDescent="0.2">
      <c r="A329" s="23" t="str">
        <f>Data!B325</f>
        <v>7029</v>
      </c>
      <c r="B329" s="21" t="str">
        <f>INDEX(Data[],MATCH($A329,Data[Dist],0),MATCH(B$5,Data[#Headers],0))</f>
        <v>Williamsburg</v>
      </c>
      <c r="C329" s="22">
        <f>IF(Notes!$B$2="June",ROUND('Budget by Source'!C329/10,0)+P329,ROUND('Budget by Source'!C329/10,0))</f>
        <v>26478</v>
      </c>
      <c r="D329" s="22">
        <f>IF(Notes!$B$2="June",ROUND('Budget by Source'!D329/10,0)+Q329,ROUND('Budget by Source'!D329/10,0))</f>
        <v>65337</v>
      </c>
      <c r="E329" s="22">
        <f>IF(Notes!$B$2="June",ROUND('Budget by Source'!E329/10,0)+R329,ROUND('Budget by Source'!E329/10,0))</f>
        <v>6196</v>
      </c>
      <c r="F329" s="22">
        <f>IF(Notes!$B$2="June",ROUND('Budget by Source'!F329/10,0)+S329,ROUND('Budget by Source'!F329/10,0))</f>
        <v>7141</v>
      </c>
      <c r="G329" s="22">
        <f>IF(Notes!$B$2="June",ROUND('Budget by Source'!G329/10,0)+T329,ROUND('Budget by Source'!G329/10,0))</f>
        <v>36701</v>
      </c>
      <c r="H329" s="22">
        <f t="shared" si="15"/>
        <v>489594</v>
      </c>
      <c r="I329" s="22">
        <f>INDEX(Data[],MATCH($A329,Data[Dist],0),MATCH(I$5,Data[#Headers],0))</f>
        <v>631447</v>
      </c>
      <c r="K329" s="70">
        <f>INDEX('Payment Total'!$A$7:$H$336,MATCH('Payment by Source'!$A329,'Payment Total'!$A$7:$A$336,0),6)-I329</f>
        <v>0</v>
      </c>
      <c r="P329" s="158">
        <f>INDEX('Budget by Source'!$A$6:$I$335,MATCH('Payment by Source'!$A329,'Budget by Source'!$A$6:$A$335,0),MATCH(P$3,'Budget by Source'!$A$5:$I$5,0))-(ROUND(INDEX('Budget by Source'!$A$6:$I$335,MATCH('Payment by Source'!$A329,'Budget by Source'!$A$6:$A$335,0),MATCH(P$3,'Budget by Source'!$A$5:$I$5,0))/10,0)*10)</f>
        <v>2</v>
      </c>
      <c r="Q329" s="158">
        <f>INDEX('Budget by Source'!$A$6:$I$335,MATCH('Payment by Source'!$A329,'Budget by Source'!$A$6:$A$335,0),MATCH(Q$3,'Budget by Source'!$A$5:$I$5,0))-(ROUND(INDEX('Budget by Source'!$A$6:$I$335,MATCH('Payment by Source'!$A329,'Budget by Source'!$A$6:$A$335,0),MATCH(Q$3,'Budget by Source'!$A$5:$I$5,0))/10,0)*10)</f>
        <v>-4</v>
      </c>
      <c r="R329" s="158">
        <f>INDEX('Budget by Source'!$A$6:$I$335,MATCH('Payment by Source'!$A329,'Budget by Source'!$A$6:$A$335,0),MATCH(R$3,'Budget by Source'!$A$5:$I$5,0))-(ROUND(INDEX('Budget by Source'!$A$6:$I$335,MATCH('Payment by Source'!$A329,'Budget by Source'!$A$6:$A$335,0),MATCH(R$3,'Budget by Source'!$A$5:$I$5,0))/10,0)*10)</f>
        <v>-5</v>
      </c>
      <c r="S329" s="158">
        <f>INDEX('Budget by Source'!$A$6:$I$335,MATCH('Payment by Source'!$A329,'Budget by Source'!$A$6:$A$335,0),MATCH(S$3,'Budget by Source'!$A$5:$I$5,0))-(ROUND(INDEX('Budget by Source'!$A$6:$I$335,MATCH('Payment by Source'!$A329,'Budget by Source'!$A$6:$A$335,0),MATCH(S$3,'Budget by Source'!$A$5:$I$5,0))/10,0)*10)</f>
        <v>-3</v>
      </c>
      <c r="T329" s="158">
        <f>INDEX('Budget by Source'!$A$6:$I$335,MATCH('Payment by Source'!$A329,'Budget by Source'!$A$6:$A$335,0),MATCH(T$3,'Budget by Source'!$A$5:$I$5,0))-(ROUND(INDEX('Budget by Source'!$A$6:$I$335,MATCH('Payment by Source'!$A329,'Budget by Source'!$A$6:$A$335,0),MATCH(T$3,'Budget by Source'!$A$5:$I$5,0))/10,0)*10)</f>
        <v>-1</v>
      </c>
      <c r="U329" s="159">
        <f>INDEX('Budget by Source'!$A$6:$I$335,MATCH('Payment by Source'!$A329,'Budget by Source'!$A$6:$A$335,0),MATCH(U$3,'Budget by Source'!$A$5:$I$5,0))</f>
        <v>4914561</v>
      </c>
      <c r="V329" s="156">
        <f t="shared" si="16"/>
        <v>491456</v>
      </c>
      <c r="W329" s="156">
        <f t="shared" si="17"/>
        <v>4914560</v>
      </c>
    </row>
    <row r="330" spans="1:23" x14ac:dyDescent="0.2">
      <c r="A330" s="23" t="str">
        <f>Data!B326</f>
        <v>7038</v>
      </c>
      <c r="B330" s="21" t="str">
        <f>INDEX(Data[],MATCH($A330,Data[Dist],0),MATCH(B$5,Data[#Headers],0))</f>
        <v>Wilton</v>
      </c>
      <c r="C330" s="22">
        <f>IF(Notes!$B$2="June",ROUND('Budget by Source'!C330/10,0)+P330,ROUND('Budget by Source'!C330/10,0))</f>
        <v>15412</v>
      </c>
      <c r="D330" s="22">
        <f>IF(Notes!$B$2="June",ROUND('Budget by Source'!D330/10,0)+Q330,ROUND('Budget by Source'!D330/10,0))</f>
        <v>49323</v>
      </c>
      <c r="E330" s="22">
        <f>IF(Notes!$B$2="June",ROUND('Budget by Source'!E330/10,0)+R330,ROUND('Budget by Source'!E330/10,0))</f>
        <v>5589</v>
      </c>
      <c r="F330" s="22">
        <f>IF(Notes!$B$2="June",ROUND('Budget by Source'!F330/10,0)+S330,ROUND('Budget by Source'!F330/10,0))</f>
        <v>5506</v>
      </c>
      <c r="G330" s="22">
        <f>IF(Notes!$B$2="June",ROUND('Budget by Source'!G330/10,0)+T330,ROUND('Budget by Source'!G330/10,0))</f>
        <v>27052</v>
      </c>
      <c r="H330" s="22">
        <f t="shared" si="15"/>
        <v>394879</v>
      </c>
      <c r="I330" s="22">
        <f>INDEX(Data[],MATCH($A330,Data[Dist],0),MATCH(I$5,Data[#Headers],0))</f>
        <v>497761</v>
      </c>
      <c r="K330" s="70">
        <f>INDEX('Payment Total'!$A$7:$H$336,MATCH('Payment by Source'!$A330,'Payment Total'!$A$7:$A$336,0),6)-I330</f>
        <v>0</v>
      </c>
      <c r="P330" s="158">
        <f>INDEX('Budget by Source'!$A$6:$I$335,MATCH('Payment by Source'!$A330,'Budget by Source'!$A$6:$A$335,0),MATCH(P$3,'Budget by Source'!$A$5:$I$5,0))-(ROUND(INDEX('Budget by Source'!$A$6:$I$335,MATCH('Payment by Source'!$A330,'Budget by Source'!$A$6:$A$335,0),MATCH(P$3,'Budget by Source'!$A$5:$I$5,0))/10,0)*10)</f>
        <v>-5</v>
      </c>
      <c r="Q330" s="158">
        <f>INDEX('Budget by Source'!$A$6:$I$335,MATCH('Payment by Source'!$A330,'Budget by Source'!$A$6:$A$335,0),MATCH(Q$3,'Budget by Source'!$A$5:$I$5,0))-(ROUND(INDEX('Budget by Source'!$A$6:$I$335,MATCH('Payment by Source'!$A330,'Budget by Source'!$A$6:$A$335,0),MATCH(Q$3,'Budget by Source'!$A$5:$I$5,0))/10,0)*10)</f>
        <v>-3</v>
      </c>
      <c r="R330" s="158">
        <f>INDEX('Budget by Source'!$A$6:$I$335,MATCH('Payment by Source'!$A330,'Budget by Source'!$A$6:$A$335,0),MATCH(R$3,'Budget by Source'!$A$5:$I$5,0))-(ROUND(INDEX('Budget by Source'!$A$6:$I$335,MATCH('Payment by Source'!$A330,'Budget by Source'!$A$6:$A$335,0),MATCH(R$3,'Budget by Source'!$A$5:$I$5,0))/10,0)*10)</f>
        <v>2</v>
      </c>
      <c r="S330" s="158">
        <f>INDEX('Budget by Source'!$A$6:$I$335,MATCH('Payment by Source'!$A330,'Budget by Source'!$A$6:$A$335,0),MATCH(S$3,'Budget by Source'!$A$5:$I$5,0))-(ROUND(INDEX('Budget by Source'!$A$6:$I$335,MATCH('Payment by Source'!$A330,'Budget by Source'!$A$6:$A$335,0),MATCH(S$3,'Budget by Source'!$A$5:$I$5,0))/10,0)*10)</f>
        <v>-1</v>
      </c>
      <c r="T330" s="158">
        <f>INDEX('Budget by Source'!$A$6:$I$335,MATCH('Payment by Source'!$A330,'Budget by Source'!$A$6:$A$335,0),MATCH(T$3,'Budget by Source'!$A$5:$I$5,0))-(ROUND(INDEX('Budget by Source'!$A$6:$I$335,MATCH('Payment by Source'!$A330,'Budget by Source'!$A$6:$A$335,0),MATCH(T$3,'Budget by Source'!$A$5:$I$5,0))/10,0)*10)</f>
        <v>-2</v>
      </c>
      <c r="U330" s="159">
        <f>INDEX('Budget by Source'!$A$6:$I$335,MATCH('Payment by Source'!$A330,'Budget by Source'!$A$6:$A$335,0),MATCH(U$3,'Budget by Source'!$A$5:$I$5,0))</f>
        <v>3962502</v>
      </c>
      <c r="V330" s="156">
        <f t="shared" si="16"/>
        <v>396250</v>
      </c>
      <c r="W330" s="156">
        <f t="shared" si="17"/>
        <v>3962500</v>
      </c>
    </row>
    <row r="331" spans="1:23" x14ac:dyDescent="0.2">
      <c r="A331" s="23" t="str">
        <f>Data!B327</f>
        <v>7047</v>
      </c>
      <c r="B331" s="21" t="str">
        <f>INDEX(Data[],MATCH($A331,Data[Dist],0),MATCH(B$5,Data[#Headers],0))</f>
        <v>Winfield-Mt Union</v>
      </c>
      <c r="C331" s="22">
        <f>IF(Notes!$B$2="June",ROUND('Budget by Source'!C331/10,0)+P331,ROUND('Budget by Source'!C331/10,0))</f>
        <v>5701</v>
      </c>
      <c r="D331" s="22">
        <f>IF(Notes!$B$2="June",ROUND('Budget by Source'!D331/10,0)+Q331,ROUND('Budget by Source'!D331/10,0))</f>
        <v>21413</v>
      </c>
      <c r="E331" s="22">
        <f>IF(Notes!$B$2="June",ROUND('Budget by Source'!E331/10,0)+R331,ROUND('Budget by Source'!E331/10,0))</f>
        <v>2636</v>
      </c>
      <c r="F331" s="22">
        <f>IF(Notes!$B$2="June",ROUND('Budget by Source'!F331/10,0)+S331,ROUND('Budget by Source'!F331/10,0))</f>
        <v>2323</v>
      </c>
      <c r="G331" s="22">
        <f>IF(Notes!$B$2="June",ROUND('Budget by Source'!G331/10,0)+T331,ROUND('Budget by Source'!G331/10,0))</f>
        <v>11494</v>
      </c>
      <c r="H331" s="22">
        <f t="shared" si="15"/>
        <v>155036</v>
      </c>
      <c r="I331" s="22">
        <f>INDEX(Data[],MATCH($A331,Data[Dist],0),MATCH(I$5,Data[#Headers],0))</f>
        <v>198603</v>
      </c>
      <c r="K331" s="70">
        <f>INDEX('Payment Total'!$A$7:$H$336,MATCH('Payment by Source'!$A331,'Payment Total'!$A$7:$A$336,0),6)-I331</f>
        <v>0</v>
      </c>
      <c r="P331" s="158">
        <f>INDEX('Budget by Source'!$A$6:$I$335,MATCH('Payment by Source'!$A331,'Budget by Source'!$A$6:$A$335,0),MATCH(P$3,'Budget by Source'!$A$5:$I$5,0))-(ROUND(INDEX('Budget by Source'!$A$6:$I$335,MATCH('Payment by Source'!$A331,'Budget by Source'!$A$6:$A$335,0),MATCH(P$3,'Budget by Source'!$A$5:$I$5,0))/10,0)*10)</f>
        <v>4</v>
      </c>
      <c r="Q331" s="158">
        <f>INDEX('Budget by Source'!$A$6:$I$335,MATCH('Payment by Source'!$A331,'Budget by Source'!$A$6:$A$335,0),MATCH(Q$3,'Budget by Source'!$A$5:$I$5,0))-(ROUND(INDEX('Budget by Source'!$A$6:$I$335,MATCH('Payment by Source'!$A331,'Budget by Source'!$A$6:$A$335,0),MATCH(Q$3,'Budget by Source'!$A$5:$I$5,0))/10,0)*10)</f>
        <v>-3</v>
      </c>
      <c r="R331" s="158">
        <f>INDEX('Budget by Source'!$A$6:$I$335,MATCH('Payment by Source'!$A331,'Budget by Source'!$A$6:$A$335,0),MATCH(R$3,'Budget by Source'!$A$5:$I$5,0))-(ROUND(INDEX('Budget by Source'!$A$6:$I$335,MATCH('Payment by Source'!$A331,'Budget by Source'!$A$6:$A$335,0),MATCH(R$3,'Budget by Source'!$A$5:$I$5,0))/10,0)*10)</f>
        <v>0</v>
      </c>
      <c r="S331" s="158">
        <f>INDEX('Budget by Source'!$A$6:$I$335,MATCH('Payment by Source'!$A331,'Budget by Source'!$A$6:$A$335,0),MATCH(S$3,'Budget by Source'!$A$5:$I$5,0))-(ROUND(INDEX('Budget by Source'!$A$6:$I$335,MATCH('Payment by Source'!$A331,'Budget by Source'!$A$6:$A$335,0),MATCH(S$3,'Budget by Source'!$A$5:$I$5,0))/10,0)*10)</f>
        <v>3</v>
      </c>
      <c r="T331" s="158">
        <f>INDEX('Budget by Source'!$A$6:$I$335,MATCH('Payment by Source'!$A331,'Budget by Source'!$A$6:$A$335,0),MATCH(T$3,'Budget by Source'!$A$5:$I$5,0))-(ROUND(INDEX('Budget by Source'!$A$6:$I$335,MATCH('Payment by Source'!$A331,'Budget by Source'!$A$6:$A$335,0),MATCH(T$3,'Budget by Source'!$A$5:$I$5,0))/10,0)*10)</f>
        <v>2</v>
      </c>
      <c r="U331" s="159">
        <f>INDEX('Budget by Source'!$A$6:$I$335,MATCH('Payment by Source'!$A331,'Budget by Source'!$A$6:$A$335,0),MATCH(U$3,'Budget by Source'!$A$5:$I$5,0))</f>
        <v>1556078</v>
      </c>
      <c r="V331" s="156">
        <f t="shared" si="16"/>
        <v>155608</v>
      </c>
      <c r="W331" s="156">
        <f t="shared" si="17"/>
        <v>1556080</v>
      </c>
    </row>
    <row r="332" spans="1:23" x14ac:dyDescent="0.2">
      <c r="A332" s="23" t="str">
        <f>Data!B328</f>
        <v>7056</v>
      </c>
      <c r="B332" s="21" t="str">
        <f>INDEX(Data[],MATCH($A332,Data[Dist],0),MATCH(B$5,Data[#Headers],0))</f>
        <v>Winterset</v>
      </c>
      <c r="C332" s="22">
        <f>IF(Notes!$B$2="June",ROUND('Budget by Source'!C332/10,0)+P332,ROUND('Budget by Source'!C332/10,0))</f>
        <v>27814</v>
      </c>
      <c r="D332" s="22">
        <f>IF(Notes!$B$2="June",ROUND('Budget by Source'!D332/10,0)+Q332,ROUND('Budget by Source'!D332/10,0))</f>
        <v>96139</v>
      </c>
      <c r="E332" s="22">
        <f>IF(Notes!$B$2="June",ROUND('Budget by Source'!E332/10,0)+R332,ROUND('Budget by Source'!E332/10,0))</f>
        <v>12478</v>
      </c>
      <c r="F332" s="22">
        <f>IF(Notes!$B$2="June",ROUND('Budget by Source'!F332/10,0)+S332,ROUND('Budget by Source'!F332/10,0))</f>
        <v>10394</v>
      </c>
      <c r="G332" s="22">
        <f>IF(Notes!$B$2="June",ROUND('Budget by Source'!G332/10,0)+T332,ROUND('Budget by Source'!G332/10,0))</f>
        <v>55841</v>
      </c>
      <c r="H332" s="22">
        <f t="shared" si="15"/>
        <v>864908</v>
      </c>
      <c r="I332" s="22">
        <f>INDEX(Data[],MATCH($A332,Data[Dist],0),MATCH(I$5,Data[#Headers],0))</f>
        <v>1067574</v>
      </c>
      <c r="K332" s="70">
        <f>INDEX('Payment Total'!$A$7:$H$336,MATCH('Payment by Source'!$A332,'Payment Total'!$A$7:$A$336,0),6)-I332</f>
        <v>0</v>
      </c>
      <c r="P332" s="158">
        <f>INDEX('Budget by Source'!$A$6:$I$335,MATCH('Payment by Source'!$A332,'Budget by Source'!$A$6:$A$335,0),MATCH(P$3,'Budget by Source'!$A$5:$I$5,0))-(ROUND(INDEX('Budget by Source'!$A$6:$I$335,MATCH('Payment by Source'!$A332,'Budget by Source'!$A$6:$A$335,0),MATCH(P$3,'Budget by Source'!$A$5:$I$5,0))/10,0)*10)</f>
        <v>-3</v>
      </c>
      <c r="Q332" s="158">
        <f>INDEX('Budget by Source'!$A$6:$I$335,MATCH('Payment by Source'!$A332,'Budget by Source'!$A$6:$A$335,0),MATCH(Q$3,'Budget by Source'!$A$5:$I$5,0))-(ROUND(INDEX('Budget by Source'!$A$6:$I$335,MATCH('Payment by Source'!$A332,'Budget by Source'!$A$6:$A$335,0),MATCH(Q$3,'Budget by Source'!$A$5:$I$5,0))/10,0)*10)</f>
        <v>-1</v>
      </c>
      <c r="R332" s="158">
        <f>INDEX('Budget by Source'!$A$6:$I$335,MATCH('Payment by Source'!$A332,'Budget by Source'!$A$6:$A$335,0),MATCH(R$3,'Budget by Source'!$A$5:$I$5,0))-(ROUND(INDEX('Budget by Source'!$A$6:$I$335,MATCH('Payment by Source'!$A332,'Budget by Source'!$A$6:$A$335,0),MATCH(R$3,'Budget by Source'!$A$5:$I$5,0))/10,0)*10)</f>
        <v>-5</v>
      </c>
      <c r="S332" s="158">
        <f>INDEX('Budget by Source'!$A$6:$I$335,MATCH('Payment by Source'!$A332,'Budget by Source'!$A$6:$A$335,0),MATCH(S$3,'Budget by Source'!$A$5:$I$5,0))-(ROUND(INDEX('Budget by Source'!$A$6:$I$335,MATCH('Payment by Source'!$A332,'Budget by Source'!$A$6:$A$335,0),MATCH(S$3,'Budget by Source'!$A$5:$I$5,0))/10,0)*10)</f>
        <v>-2</v>
      </c>
      <c r="T332" s="158">
        <f>INDEX('Budget by Source'!$A$6:$I$335,MATCH('Payment by Source'!$A332,'Budget by Source'!$A$6:$A$335,0),MATCH(T$3,'Budget by Source'!$A$5:$I$5,0))-(ROUND(INDEX('Budget by Source'!$A$6:$I$335,MATCH('Payment by Source'!$A332,'Budget by Source'!$A$6:$A$335,0),MATCH(T$3,'Budget by Source'!$A$5:$I$5,0))/10,0)*10)</f>
        <v>-4</v>
      </c>
      <c r="U332" s="159">
        <f>INDEX('Budget by Source'!$A$6:$I$335,MATCH('Payment by Source'!$A332,'Budget by Source'!$A$6:$A$335,0),MATCH(U$3,'Budget by Source'!$A$5:$I$5,0))</f>
        <v>8677420</v>
      </c>
      <c r="V332" s="156">
        <f t="shared" si="16"/>
        <v>867742</v>
      </c>
      <c r="W332" s="156">
        <f t="shared" si="17"/>
        <v>8677420</v>
      </c>
    </row>
    <row r="333" spans="1:23" x14ac:dyDescent="0.2">
      <c r="A333" s="23" t="str">
        <f>Data!B329</f>
        <v>7092</v>
      </c>
      <c r="B333" s="21" t="str">
        <f>INDEX(Data[],MATCH($A333,Data[Dist],0),MATCH(B$5,Data[#Headers],0))</f>
        <v>Woodbine</v>
      </c>
      <c r="C333" s="22">
        <f>IF(Notes!$B$2="June",ROUND('Budget by Source'!C333/10,0)+P333,ROUND('Budget by Source'!C333/10,0))</f>
        <v>6365</v>
      </c>
      <c r="D333" s="22">
        <f>IF(Notes!$B$2="June",ROUND('Budget by Source'!D333/10,0)+Q333,ROUND('Budget by Source'!D333/10,0))</f>
        <v>30004</v>
      </c>
      <c r="E333" s="22">
        <f>IF(Notes!$B$2="June",ROUND('Budget by Source'!E333/10,0)+R333,ROUND('Budget by Source'!E333/10,0))</f>
        <v>3486</v>
      </c>
      <c r="F333" s="22">
        <f>IF(Notes!$B$2="June",ROUND('Budget by Source'!F333/10,0)+S333,ROUND('Budget by Source'!F333/10,0))</f>
        <v>3359</v>
      </c>
      <c r="G333" s="22">
        <f>IF(Notes!$B$2="June",ROUND('Budget by Source'!G333/10,0)+T333,ROUND('Budget by Source'!G333/10,0))</f>
        <v>15487</v>
      </c>
      <c r="H333" s="22">
        <f t="shared" si="15"/>
        <v>210503</v>
      </c>
      <c r="I333" s="22">
        <f>INDEX(Data[],MATCH($A333,Data[Dist],0),MATCH(I$5,Data[#Headers],0))</f>
        <v>269204</v>
      </c>
      <c r="K333" s="70">
        <f>INDEX('Payment Total'!$A$7:$H$336,MATCH('Payment by Source'!$A333,'Payment Total'!$A$7:$A$336,0),6)-I333</f>
        <v>0</v>
      </c>
      <c r="P333" s="158">
        <f>INDEX('Budget by Source'!$A$6:$I$335,MATCH('Payment by Source'!$A333,'Budget by Source'!$A$6:$A$335,0),MATCH(P$3,'Budget by Source'!$A$5:$I$5,0))-(ROUND(INDEX('Budget by Source'!$A$6:$I$335,MATCH('Payment by Source'!$A333,'Budget by Source'!$A$6:$A$335,0),MATCH(P$3,'Budget by Source'!$A$5:$I$5,0))/10,0)*10)</f>
        <v>-3</v>
      </c>
      <c r="Q333" s="158">
        <f>INDEX('Budget by Source'!$A$6:$I$335,MATCH('Payment by Source'!$A333,'Budget by Source'!$A$6:$A$335,0),MATCH(Q$3,'Budget by Source'!$A$5:$I$5,0))-(ROUND(INDEX('Budget by Source'!$A$6:$I$335,MATCH('Payment by Source'!$A333,'Budget by Source'!$A$6:$A$335,0),MATCH(Q$3,'Budget by Source'!$A$5:$I$5,0))/10,0)*10)</f>
        <v>2</v>
      </c>
      <c r="R333" s="158">
        <f>INDEX('Budget by Source'!$A$6:$I$335,MATCH('Payment by Source'!$A333,'Budget by Source'!$A$6:$A$335,0),MATCH(R$3,'Budget by Source'!$A$5:$I$5,0))-(ROUND(INDEX('Budget by Source'!$A$6:$I$335,MATCH('Payment by Source'!$A333,'Budget by Source'!$A$6:$A$335,0),MATCH(R$3,'Budget by Source'!$A$5:$I$5,0))/10,0)*10)</f>
        <v>-2</v>
      </c>
      <c r="S333" s="158">
        <f>INDEX('Budget by Source'!$A$6:$I$335,MATCH('Payment by Source'!$A333,'Budget by Source'!$A$6:$A$335,0),MATCH(S$3,'Budget by Source'!$A$5:$I$5,0))-(ROUND(INDEX('Budget by Source'!$A$6:$I$335,MATCH('Payment by Source'!$A333,'Budget by Source'!$A$6:$A$335,0),MATCH(S$3,'Budget by Source'!$A$5:$I$5,0))/10,0)*10)</f>
        <v>0</v>
      </c>
      <c r="T333" s="158">
        <f>INDEX('Budget by Source'!$A$6:$I$335,MATCH('Payment by Source'!$A333,'Budget by Source'!$A$6:$A$335,0),MATCH(T$3,'Budget by Source'!$A$5:$I$5,0))-(ROUND(INDEX('Budget by Source'!$A$6:$I$335,MATCH('Payment by Source'!$A333,'Budget by Source'!$A$6:$A$335,0),MATCH(T$3,'Budget by Source'!$A$5:$I$5,0))/10,0)*10)</f>
        <v>-1</v>
      </c>
      <c r="U333" s="159">
        <f>INDEX('Budget by Source'!$A$6:$I$335,MATCH('Payment by Source'!$A333,'Budget by Source'!$A$6:$A$335,0),MATCH(U$3,'Budget by Source'!$A$5:$I$5,0))</f>
        <v>2112815</v>
      </c>
      <c r="V333" s="156">
        <f t="shared" si="16"/>
        <v>211282</v>
      </c>
      <c r="W333" s="156">
        <f t="shared" si="17"/>
        <v>2112820</v>
      </c>
    </row>
    <row r="334" spans="1:23" x14ac:dyDescent="0.2">
      <c r="A334" s="23" t="str">
        <f>Data!B330</f>
        <v>7098</v>
      </c>
      <c r="B334" s="21" t="str">
        <f>INDEX(Data[],MATCH($A334,Data[Dist],0),MATCH(B$5,Data[#Headers],0))</f>
        <v>Woodbury Central</v>
      </c>
      <c r="C334" s="22">
        <f>IF(Notes!$B$2="June",ROUND('Budget by Source'!C334/10,0)+P334,ROUND('Budget by Source'!C334/10,0))</f>
        <v>12402</v>
      </c>
      <c r="D334" s="22">
        <f>IF(Notes!$B$2="June",ROUND('Budget by Source'!D334/10,0)+Q334,ROUND('Budget by Source'!D334/10,0))</f>
        <v>32306</v>
      </c>
      <c r="E334" s="22">
        <f>IF(Notes!$B$2="June",ROUND('Budget by Source'!E334/10,0)+R334,ROUND('Budget by Source'!E334/10,0))</f>
        <v>3671</v>
      </c>
      <c r="F334" s="22">
        <f>IF(Notes!$B$2="June",ROUND('Budget by Source'!F334/10,0)+S334,ROUND('Budget by Source'!F334/10,0))</f>
        <v>3514</v>
      </c>
      <c r="G334" s="22">
        <f>IF(Notes!$B$2="June",ROUND('Budget by Source'!G334/10,0)+T334,ROUND('Budget by Source'!G334/10,0))</f>
        <v>18076</v>
      </c>
      <c r="H334" s="22">
        <f t="shared" si="15"/>
        <v>280005</v>
      </c>
      <c r="I334" s="22">
        <f>INDEX(Data[],MATCH($A334,Data[Dist],0),MATCH(I$5,Data[#Headers],0))</f>
        <v>349974</v>
      </c>
      <c r="K334" s="70">
        <f>INDEX('Payment Total'!$A$7:$H$336,MATCH('Payment by Source'!$A334,'Payment Total'!$A$7:$A$336,0),6)-I334</f>
        <v>0</v>
      </c>
      <c r="P334" s="158">
        <f>INDEX('Budget by Source'!$A$6:$I$335,MATCH('Payment by Source'!$A334,'Budget by Source'!$A$6:$A$335,0),MATCH(P$3,'Budget by Source'!$A$5:$I$5,0))-(ROUND(INDEX('Budget by Source'!$A$6:$I$335,MATCH('Payment by Source'!$A334,'Budget by Source'!$A$6:$A$335,0),MATCH(P$3,'Budget by Source'!$A$5:$I$5,0))/10,0)*10)</f>
        <v>2</v>
      </c>
      <c r="Q334" s="158">
        <f>INDEX('Budget by Source'!$A$6:$I$335,MATCH('Payment by Source'!$A334,'Budget by Source'!$A$6:$A$335,0),MATCH(Q$3,'Budget by Source'!$A$5:$I$5,0))-(ROUND(INDEX('Budget by Source'!$A$6:$I$335,MATCH('Payment by Source'!$A334,'Budget by Source'!$A$6:$A$335,0),MATCH(Q$3,'Budget by Source'!$A$5:$I$5,0))/10,0)*10)</f>
        <v>4</v>
      </c>
      <c r="R334" s="158">
        <f>INDEX('Budget by Source'!$A$6:$I$335,MATCH('Payment by Source'!$A334,'Budget by Source'!$A$6:$A$335,0),MATCH(R$3,'Budget by Source'!$A$5:$I$5,0))-(ROUND(INDEX('Budget by Source'!$A$6:$I$335,MATCH('Payment by Source'!$A334,'Budget by Source'!$A$6:$A$335,0),MATCH(R$3,'Budget by Source'!$A$5:$I$5,0))/10,0)*10)</f>
        <v>1</v>
      </c>
      <c r="S334" s="158">
        <f>INDEX('Budget by Source'!$A$6:$I$335,MATCH('Payment by Source'!$A334,'Budget by Source'!$A$6:$A$335,0),MATCH(S$3,'Budget by Source'!$A$5:$I$5,0))-(ROUND(INDEX('Budget by Source'!$A$6:$I$335,MATCH('Payment by Source'!$A334,'Budget by Source'!$A$6:$A$335,0),MATCH(S$3,'Budget by Source'!$A$5:$I$5,0))/10,0)*10)</f>
        <v>-2</v>
      </c>
      <c r="T334" s="158">
        <f>INDEX('Budget by Source'!$A$6:$I$335,MATCH('Payment by Source'!$A334,'Budget by Source'!$A$6:$A$335,0),MATCH(T$3,'Budget by Source'!$A$5:$I$5,0))-(ROUND(INDEX('Budget by Source'!$A$6:$I$335,MATCH('Payment by Source'!$A334,'Budget by Source'!$A$6:$A$335,0),MATCH(T$3,'Budget by Source'!$A$5:$I$5,0))/10,0)*10)</f>
        <v>-5</v>
      </c>
      <c r="U334" s="159">
        <f>INDEX('Budget by Source'!$A$6:$I$335,MATCH('Payment by Source'!$A334,'Budget by Source'!$A$6:$A$335,0),MATCH(U$3,'Budget by Source'!$A$5:$I$5,0))</f>
        <v>2809203</v>
      </c>
      <c r="V334" s="156">
        <f t="shared" si="16"/>
        <v>280920</v>
      </c>
      <c r="W334" s="156">
        <f t="shared" si="17"/>
        <v>2809200</v>
      </c>
    </row>
    <row r="335" spans="1:23" x14ac:dyDescent="0.2">
      <c r="A335" s="23" t="str">
        <f>Data!B331</f>
        <v>7110</v>
      </c>
      <c r="B335" s="21" t="str">
        <f>INDEX(Data[],MATCH($A335,Data[Dist],0),MATCH(B$5,Data[#Headers],0))</f>
        <v>Woodward-Granger</v>
      </c>
      <c r="C335" s="22">
        <f>IF(Notes!$B$2="June",ROUND('Budget by Source'!C335/10,0)+P335,ROUND('Budget by Source'!C335/10,0))</f>
        <v>28487</v>
      </c>
      <c r="D335" s="22">
        <f>IF(Notes!$B$2="June",ROUND('Budget by Source'!D335/10,0)+Q335,ROUND('Budget by Source'!D335/10,0))</f>
        <v>55324</v>
      </c>
      <c r="E335" s="22">
        <f>IF(Notes!$B$2="June",ROUND('Budget by Source'!E335/10,0)+R335,ROUND('Budget by Source'!E335/10,0))</f>
        <v>6122</v>
      </c>
      <c r="F335" s="22">
        <f>IF(Notes!$B$2="June",ROUND('Budget by Source'!F335/10,0)+S335,ROUND('Budget by Source'!F335/10,0))</f>
        <v>5791</v>
      </c>
      <c r="G335" s="22">
        <f>IF(Notes!$B$2="June",ROUND('Budget by Source'!G335/10,0)+T335,ROUND('Budget by Source'!G335/10,0))</f>
        <v>31346</v>
      </c>
      <c r="H335" s="22">
        <f t="shared" si="15"/>
        <v>456642</v>
      </c>
      <c r="I335" s="22">
        <f>INDEX(Data[],MATCH($A335,Data[Dist],0),MATCH(I$5,Data[#Headers],0))</f>
        <v>583712</v>
      </c>
      <c r="K335" s="70">
        <f>INDEX('Payment Total'!$A$7:$H$336,MATCH('Payment by Source'!$A335,'Payment Total'!$A$7:$A$336,0),6)-I335</f>
        <v>0</v>
      </c>
      <c r="P335" s="158">
        <f>INDEX('Budget by Source'!$A$6:$I$335,MATCH('Payment by Source'!$A335,'Budget by Source'!$A$6:$A$335,0),MATCH(P$3,'Budget by Source'!$A$5:$I$5,0))-(ROUND(INDEX('Budget by Source'!$A$6:$I$335,MATCH('Payment by Source'!$A335,'Budget by Source'!$A$6:$A$335,0),MATCH(P$3,'Budget by Source'!$A$5:$I$5,0))/10,0)*10)</f>
        <v>0</v>
      </c>
      <c r="Q335" s="158">
        <f>INDEX('Budget by Source'!$A$6:$I$335,MATCH('Payment by Source'!$A335,'Budget by Source'!$A$6:$A$335,0),MATCH(Q$3,'Budget by Source'!$A$5:$I$5,0))-(ROUND(INDEX('Budget by Source'!$A$6:$I$335,MATCH('Payment by Source'!$A335,'Budget by Source'!$A$6:$A$335,0),MATCH(Q$3,'Budget by Source'!$A$5:$I$5,0))/10,0)*10)</f>
        <v>-2</v>
      </c>
      <c r="R335" s="158">
        <f>INDEX('Budget by Source'!$A$6:$I$335,MATCH('Payment by Source'!$A335,'Budget by Source'!$A$6:$A$335,0),MATCH(R$3,'Budget by Source'!$A$5:$I$5,0))-(ROUND(INDEX('Budget by Source'!$A$6:$I$335,MATCH('Payment by Source'!$A335,'Budget by Source'!$A$6:$A$335,0),MATCH(R$3,'Budget by Source'!$A$5:$I$5,0))/10,0)*10)</f>
        <v>4</v>
      </c>
      <c r="S335" s="158">
        <f>INDEX('Budget by Source'!$A$6:$I$335,MATCH('Payment by Source'!$A335,'Budget by Source'!$A$6:$A$335,0),MATCH(S$3,'Budget by Source'!$A$5:$I$5,0))-(ROUND(INDEX('Budget by Source'!$A$6:$I$335,MATCH('Payment by Source'!$A335,'Budget by Source'!$A$6:$A$335,0),MATCH(S$3,'Budget by Source'!$A$5:$I$5,0))/10,0)*10)</f>
        <v>-1</v>
      </c>
      <c r="T335" s="158">
        <f>INDEX('Budget by Source'!$A$6:$I$335,MATCH('Payment by Source'!$A335,'Budget by Source'!$A$6:$A$335,0),MATCH(T$3,'Budget by Source'!$A$5:$I$5,0))-(ROUND(INDEX('Budget by Source'!$A$6:$I$335,MATCH('Payment by Source'!$A335,'Budget by Source'!$A$6:$A$335,0),MATCH(T$3,'Budget by Source'!$A$5:$I$5,0))/10,0)*10)</f>
        <v>-5</v>
      </c>
      <c r="U335" s="159">
        <f>INDEX('Budget by Source'!$A$6:$I$335,MATCH('Payment by Source'!$A335,'Budget by Source'!$A$6:$A$335,0),MATCH(U$3,'Budget by Source'!$A$5:$I$5,0))</f>
        <v>4582381</v>
      </c>
      <c r="V335" s="156">
        <f t="shared" si="16"/>
        <v>458238</v>
      </c>
      <c r="W335" s="156">
        <f t="shared" si="17"/>
        <v>4582380</v>
      </c>
    </row>
    <row r="336" spans="1:23" ht="13.5" thickBot="1" x14ac:dyDescent="0.25">
      <c r="A336" s="125" t="s">
        <v>798</v>
      </c>
      <c r="B336" s="21" t="s">
        <v>797</v>
      </c>
      <c r="C336" s="24">
        <f t="shared" ref="C336:I336" si="18">SUM(C6:C335)</f>
        <v>8183058</v>
      </c>
      <c r="D336" s="24">
        <f t="shared" si="18"/>
        <v>28293668</v>
      </c>
      <c r="E336" s="24">
        <f t="shared" si="18"/>
        <v>3489448</v>
      </c>
      <c r="F336" s="24">
        <f t="shared" si="18"/>
        <v>3205793</v>
      </c>
      <c r="G336" s="24">
        <f t="shared" si="18"/>
        <v>15946455</v>
      </c>
      <c r="H336" s="24">
        <f t="shared" si="18"/>
        <v>237860897</v>
      </c>
      <c r="I336" s="24">
        <f t="shared" si="18"/>
        <v>296979319</v>
      </c>
    </row>
    <row r="337" ht="13.5" thickTop="1" x14ac:dyDescent="0.2"/>
  </sheetData>
  <sheetProtection sheet="1" objects="1" scenarios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44"/>
  <sheetViews>
    <sheetView showGridLines="0" tabSelected="1" zoomScaleNormal="100" workbookViewId="0">
      <selection activeCell="B2" sqref="B2"/>
    </sheetView>
  </sheetViews>
  <sheetFormatPr defaultRowHeight="12.75" x14ac:dyDescent="0.2"/>
  <cols>
    <col min="1" max="1" width="4.28515625" style="81" customWidth="1"/>
    <col min="2" max="2" width="38.28515625" style="81" customWidth="1"/>
    <col min="3" max="3" width="17.42578125" style="95" customWidth="1"/>
    <col min="4" max="4" width="19.42578125" style="95" customWidth="1"/>
    <col min="5" max="5" width="4.28515625" style="95" customWidth="1"/>
    <col min="6" max="6" width="9" style="95" customWidth="1"/>
    <col min="7" max="7" width="9.140625" style="136" hidden="1" customWidth="1"/>
    <col min="8" max="8" width="2.140625" style="72" customWidth="1"/>
    <col min="9" max="9" width="11.85546875" style="72" customWidth="1"/>
    <col min="10" max="10" width="16.85546875" style="72" customWidth="1"/>
    <col min="11" max="11" width="17" style="72" customWidth="1"/>
    <col min="12" max="12" width="14.140625" style="72" customWidth="1"/>
    <col min="13" max="13" width="14.42578125" style="72" customWidth="1"/>
    <col min="14" max="14" width="14.7109375" style="72" customWidth="1"/>
    <col min="15" max="15" width="16.28515625" style="72" customWidth="1"/>
    <col min="16" max="16" width="17" style="72" customWidth="1"/>
    <col min="17" max="17" width="1.42578125" style="72" customWidth="1"/>
    <col min="18" max="25" width="0" style="136" hidden="1" customWidth="1"/>
    <col min="26" max="16384" width="9.140625" style="72"/>
  </cols>
  <sheetData>
    <row r="1" spans="1:25" ht="24" customHeight="1" x14ac:dyDescent="0.4">
      <c r="A1" s="201" t="str">
        <f>CONCATENATE("FY ",Notes!$B$1," Summary of State Aid Payments to School Districts")</f>
        <v>FY 2019 Summary of State Aid Payments to School Districts</v>
      </c>
      <c r="B1" s="202"/>
      <c r="C1" s="202"/>
      <c r="D1" s="202"/>
      <c r="E1" s="203"/>
      <c r="F1" s="71"/>
    </row>
    <row r="2" spans="1:25" ht="19.5" customHeight="1" x14ac:dyDescent="0.3">
      <c r="A2" s="73"/>
      <c r="B2" s="74" t="s">
        <v>797</v>
      </c>
      <c r="C2" s="204"/>
      <c r="D2" s="204"/>
      <c r="E2" s="205"/>
      <c r="F2" s="75"/>
    </row>
    <row r="3" spans="1:25" ht="17.25" customHeight="1" x14ac:dyDescent="0.4">
      <c r="A3" s="76"/>
      <c r="B3" s="77" t="str">
        <f>INDEX('Budget Total'!$A$6:$G$336,MATCH(PaymentSummary!$B$2,Districts,0),1)</f>
        <v>9999</v>
      </c>
      <c r="C3" s="78"/>
      <c r="D3" s="78"/>
      <c r="E3" s="79"/>
      <c r="F3" s="80"/>
    </row>
    <row r="4" spans="1:25" ht="7.5" customHeight="1" x14ac:dyDescent="0.4">
      <c r="B4" s="82"/>
      <c r="C4" s="83"/>
      <c r="D4" s="83"/>
      <c r="E4" s="84"/>
      <c r="F4" s="80"/>
    </row>
    <row r="5" spans="1:25" ht="7.5" customHeight="1" x14ac:dyDescent="0.2">
      <c r="A5" s="85"/>
      <c r="B5" s="86"/>
      <c r="C5" s="87"/>
      <c r="D5" s="87"/>
      <c r="E5" s="88"/>
      <c r="F5" s="89"/>
    </row>
    <row r="6" spans="1:25" ht="15.75" customHeight="1" x14ac:dyDescent="0.25">
      <c r="A6" s="90"/>
      <c r="B6" s="91" t="s">
        <v>782</v>
      </c>
      <c r="C6" s="92"/>
      <c r="D6" s="108">
        <f>INDEX('Budget Total'!$A$6:$G$336,MATCH(PaymentSummary!$B$2,Districts,0),3)</f>
        <v>2996663304</v>
      </c>
      <c r="E6" s="93"/>
      <c r="F6" s="94"/>
      <c r="G6" s="137"/>
    </row>
    <row r="7" spans="1:25" ht="15.75" customHeight="1" x14ac:dyDescent="0.25">
      <c r="A7" s="90"/>
      <c r="B7" s="91" t="s">
        <v>783</v>
      </c>
      <c r="C7" s="92"/>
      <c r="D7" s="92"/>
      <c r="E7" s="93"/>
      <c r="G7" s="137"/>
    </row>
    <row r="8" spans="1:25" ht="15.75" customHeight="1" x14ac:dyDescent="0.25">
      <c r="A8" s="90"/>
      <c r="B8" s="91" t="s">
        <v>784</v>
      </c>
      <c r="C8" s="92">
        <f>-INDEX('Budget Total'!$A$6:$G$336,MATCH(PaymentSummary!$B$2,Districts,0),4)</f>
        <v>-405057</v>
      </c>
      <c r="D8" s="92"/>
      <c r="E8" s="93"/>
      <c r="F8" s="94"/>
      <c r="G8" s="138"/>
    </row>
    <row r="9" spans="1:25" ht="15.75" customHeight="1" x14ac:dyDescent="0.25">
      <c r="A9" s="90"/>
      <c r="B9" s="91" t="s">
        <v>785</v>
      </c>
      <c r="C9" s="92">
        <f>-INDEX('Budget Total'!$A$6:$G$336,MATCH(PaymentSummary!$B$2,Districts,0),5)</f>
        <v>-12146313</v>
      </c>
      <c r="D9" s="92"/>
      <c r="E9" s="93"/>
      <c r="F9" s="94"/>
      <c r="G9" s="138"/>
      <c r="J9" s="130"/>
    </row>
    <row r="10" spans="1:25" ht="15.75" customHeight="1" x14ac:dyDescent="0.25">
      <c r="A10" s="90"/>
      <c r="B10" s="91" t="s">
        <v>786</v>
      </c>
      <c r="C10" s="92">
        <f>-INDEX('Budget Total'!$A$6:$G$336,MATCH(PaymentSummary!$B$2,Districts,0),6)</f>
        <v>-2487865</v>
      </c>
      <c r="D10" s="92"/>
      <c r="E10" s="93"/>
      <c r="F10" s="94"/>
      <c r="G10" s="138"/>
      <c r="H10" s="141"/>
      <c r="I10" s="206" t="str">
        <f>CONCATENATE("FY ",Notes!$B$1," Budget for State Payments to School Districts by Month by Source")</f>
        <v>FY 2019 Budget for State Payments to School Districts by Month by Source</v>
      </c>
      <c r="J10" s="206"/>
      <c r="K10" s="206"/>
      <c r="L10" s="206"/>
      <c r="M10" s="206"/>
      <c r="N10" s="206"/>
      <c r="O10" s="206"/>
      <c r="P10" s="206"/>
      <c r="Q10" s="207"/>
    </row>
    <row r="11" spans="1:25" ht="15.75" customHeight="1" x14ac:dyDescent="0.25">
      <c r="A11" s="90"/>
      <c r="B11" s="91" t="s">
        <v>787</v>
      </c>
      <c r="C11" s="92">
        <f>INDEX(SpecialEdDeficit!$A$3:$E$333,MATCH(PaymentSummary!$B$3,SpecialEdDeficit!$B$3:$B$333,0),5)</f>
        <v>2172994</v>
      </c>
      <c r="D11" s="92">
        <f>SUM(C8:C11)</f>
        <v>-12866241</v>
      </c>
      <c r="E11" s="93"/>
      <c r="F11" s="94"/>
      <c r="G11" s="138"/>
      <c r="H11" s="144"/>
      <c r="I11" s="193"/>
      <c r="J11" s="193"/>
      <c r="K11" s="193"/>
      <c r="L11" s="193"/>
      <c r="M11" s="193"/>
      <c r="N11" s="193"/>
      <c r="O11" s="193"/>
      <c r="P11" s="193"/>
      <c r="Q11" s="208"/>
    </row>
    <row r="12" spans="1:25" ht="15.75" customHeight="1" thickBot="1" x14ac:dyDescent="0.3">
      <c r="A12" s="90"/>
      <c r="B12" s="91" t="s">
        <v>788</v>
      </c>
      <c r="C12" s="92"/>
      <c r="D12" s="96">
        <f>D6+D11</f>
        <v>2983797063</v>
      </c>
      <c r="E12" s="93"/>
      <c r="F12" s="94"/>
      <c r="G12" s="138"/>
      <c r="H12" s="144"/>
      <c r="I12" s="152"/>
      <c r="J12" s="152"/>
      <c r="K12" s="152"/>
      <c r="L12" s="152"/>
      <c r="M12" s="152"/>
      <c r="N12" s="152"/>
      <c r="O12" s="152"/>
      <c r="P12" s="152"/>
      <c r="Q12" s="147"/>
    </row>
    <row r="13" spans="1:25" ht="18.75" customHeight="1" thickTop="1" x14ac:dyDescent="0.25">
      <c r="A13" s="90"/>
      <c r="B13" s="91"/>
      <c r="C13" s="92"/>
      <c r="D13" s="92"/>
      <c r="E13" s="93"/>
      <c r="G13" s="139"/>
      <c r="H13" s="144"/>
      <c r="I13" s="197" t="s">
        <v>713</v>
      </c>
      <c r="J13" s="197" t="str">
        <f>Data!$L$1</f>
        <v>Preschool State Aid (Code 3117)</v>
      </c>
      <c r="K13" s="197" t="str">
        <f>Data!M1</f>
        <v>Teacher Salary (Code 3204)</v>
      </c>
      <c r="L13" s="199" t="str">
        <f>Data!N1</f>
        <v>Early Intervention (Code 3216)</v>
      </c>
      <c r="M13" s="197" t="str">
        <f>Data!O1</f>
        <v>Professional Development (Code 3376)</v>
      </c>
      <c r="N13" s="197" t="str">
        <f>Data!P1</f>
        <v>Teacher Leadership (Code 3116)</v>
      </c>
      <c r="O13" s="199" t="s">
        <v>765</v>
      </c>
      <c r="P13" s="199" t="s">
        <v>360</v>
      </c>
      <c r="Q13" s="147"/>
      <c r="R13" s="151" t="str">
        <f>'Payment by Source'!C$4</f>
        <v>Preschool State Aid 
(Code 3117)</v>
      </c>
      <c r="S13" s="140" t="str">
        <f>'Payment by Source'!D$4</f>
        <v>Teacher Salary (Code 3204)</v>
      </c>
      <c r="T13" s="140" t="str">
        <f>'Payment by Source'!E$4</f>
        <v>Early Intervention (Code 3216)</v>
      </c>
      <c r="U13" s="140" t="str">
        <f>'Payment by Source'!F$4</f>
        <v>Professional Development (Code 3376)</v>
      </c>
      <c r="V13" s="140" t="str">
        <f>'Payment by Source'!G$4</f>
        <v>Teacher Leadership 
(Code 3116)</v>
      </c>
      <c r="W13" s="140" t="str">
        <f>'Payment by Source'!H$4</f>
        <v>State Foundation Aid 
(Code 3111)</v>
      </c>
      <c r="X13" s="140" t="str">
        <f>'Payment by Source'!I$4</f>
        <v>Regular State Payment</v>
      </c>
      <c r="Y13" s="140">
        <f>'Payment by Source'!J$4</f>
        <v>0</v>
      </c>
    </row>
    <row r="14" spans="1:25" ht="15.75" customHeight="1" x14ac:dyDescent="0.25">
      <c r="A14" s="90"/>
      <c r="B14" s="98"/>
      <c r="C14" s="99"/>
      <c r="D14" s="100" t="s">
        <v>789</v>
      </c>
      <c r="E14" s="93"/>
      <c r="G14" s="139"/>
      <c r="H14" s="144"/>
      <c r="I14" s="197"/>
      <c r="J14" s="197"/>
      <c r="K14" s="197"/>
      <c r="L14" s="199"/>
      <c r="M14" s="197"/>
      <c r="N14" s="197"/>
      <c r="O14" s="199"/>
      <c r="P14" s="199"/>
      <c r="Q14" s="147"/>
    </row>
    <row r="15" spans="1:25" ht="15.75" customHeight="1" x14ac:dyDescent="0.25">
      <c r="A15" s="90"/>
      <c r="B15" s="91" t="str">
        <f>CONCATENATE("FY ",Notes!$B$1," Payments (EFT Date):")</f>
        <v>FY 2019 Payments (EFT Date):</v>
      </c>
      <c r="C15" s="99"/>
      <c r="D15" s="101" t="s">
        <v>790</v>
      </c>
      <c r="E15" s="93"/>
      <c r="G15" s="137"/>
      <c r="H15" s="144"/>
      <c r="I15" s="198"/>
      <c r="J15" s="198"/>
      <c r="K15" s="198"/>
      <c r="L15" s="200"/>
      <c r="M15" s="198"/>
      <c r="N15" s="198"/>
      <c r="O15" s="200"/>
      <c r="P15" s="200"/>
      <c r="Q15" s="147"/>
    </row>
    <row r="16" spans="1:25" ht="15.75" customHeight="1" x14ac:dyDescent="0.25">
      <c r="A16" s="90"/>
      <c r="B16" s="102">
        <f>Notes!A33</f>
        <v>43362</v>
      </c>
      <c r="C16" s="99"/>
      <c r="D16" s="92">
        <f>INDEX(Data[],MATCH($B$3,Data[Dist],0),MATCH($G16,Data[#Headers],0))</f>
        <v>299625839</v>
      </c>
      <c r="E16" s="93"/>
      <c r="G16" s="137" t="str">
        <f>Data[[#Headers],[September Payment]]</f>
        <v>September Payment</v>
      </c>
      <c r="H16" s="144"/>
      <c r="I16" s="133" t="s">
        <v>714</v>
      </c>
      <c r="J16" s="92">
        <f>ROUND(INDEX(Data[],MATCH($B$3,Data[Dist],0),MATCH(J$13,Data[#Headers],0))/10,0)</f>
        <v>8183162</v>
      </c>
      <c r="K16" s="92">
        <f>ROUND(INDEX(Data[],MATCH($B$3,Data[Dist],0),MATCH(K$13,Data[#Headers],0))/10,0)</f>
        <v>28293834</v>
      </c>
      <c r="L16" s="92">
        <f>ROUND(INDEX(Data[],MATCH($B$3,Data[Dist],0),MATCH(L$13,Data[#Headers],0))/10,0)</f>
        <v>3489587</v>
      </c>
      <c r="M16" s="92">
        <f>ROUND(INDEX(Data[],MATCH($B$3,Data[Dist],0),MATCH(M$13,Data[#Headers],0))/10,0)</f>
        <v>3205980</v>
      </c>
      <c r="N16" s="92">
        <f>ROUND(INDEX(Data[],MATCH($B$3,Data[Dist],0),MATCH(N$13,Data[#Headers],0))/10,0)</f>
        <v>15946649</v>
      </c>
      <c r="O16" s="92">
        <f>P16-SUM(J16:N16)</f>
        <v>240506627</v>
      </c>
      <c r="P16" s="92">
        <f>D16</f>
        <v>299625839</v>
      </c>
      <c r="Q16" s="147"/>
    </row>
    <row r="17" spans="1:17" ht="15.75" customHeight="1" x14ac:dyDescent="0.25">
      <c r="A17" s="90"/>
      <c r="B17" s="102">
        <f>Notes!A34</f>
        <v>43390</v>
      </c>
      <c r="C17" s="99"/>
      <c r="D17" s="92">
        <f>INDEX(Data[],MATCH($B$3,Data[Dist],0),MATCH($G17,Data[#Headers],0))</f>
        <v>299625839</v>
      </c>
      <c r="E17" s="93"/>
      <c r="G17" s="137" t="str">
        <f>Data[[#Headers],[October Payment]]</f>
        <v>October Payment</v>
      </c>
      <c r="H17" s="144"/>
      <c r="I17" s="133" t="s">
        <v>717</v>
      </c>
      <c r="J17" s="92">
        <f>ROUND(INDEX(Data[],MATCH($B$3,Data[Dist],0),MATCH(J$13,Data[#Headers],0))/10,0)</f>
        <v>8183162</v>
      </c>
      <c r="K17" s="92">
        <f>ROUND(INDEX(Data[],MATCH($B$3,Data[Dist],0),MATCH(K$13,Data[#Headers],0))/10,0)</f>
        <v>28293834</v>
      </c>
      <c r="L17" s="92">
        <f>ROUND(INDEX(Data[],MATCH($B$3,Data[Dist],0),MATCH(L$13,Data[#Headers],0))/10,0)</f>
        <v>3489587</v>
      </c>
      <c r="M17" s="92">
        <f>ROUND(INDEX(Data[],MATCH($B$3,Data[Dist],0),MATCH(M$13,Data[#Headers],0))/10,0)</f>
        <v>3205980</v>
      </c>
      <c r="N17" s="92">
        <f>ROUND(INDEX(Data[],MATCH($B$3,Data[Dist],0),MATCH(N$13,Data[#Headers],0))/10,0)</f>
        <v>15946649</v>
      </c>
      <c r="O17" s="92">
        <f t="shared" ref="O17:O24" si="0">P17-SUM(J17:N17)</f>
        <v>240506627</v>
      </c>
      <c r="P17" s="92">
        <f t="shared" ref="P17:P25" si="1">D17</f>
        <v>299625839</v>
      </c>
      <c r="Q17" s="147"/>
    </row>
    <row r="18" spans="1:17" ht="15.75" customHeight="1" x14ac:dyDescent="0.25">
      <c r="A18" s="90"/>
      <c r="B18" s="102">
        <f>Notes!A35</f>
        <v>43423</v>
      </c>
      <c r="C18" s="99"/>
      <c r="D18" s="92">
        <f>INDEX(Data[],MATCH($B$3,Data[Dist],0),MATCH($G18,Data[#Headers],0))</f>
        <v>299625839</v>
      </c>
      <c r="E18" s="93"/>
      <c r="G18" s="137" t="str">
        <f>Data[[#Headers],[November Payment]]</f>
        <v>November Payment</v>
      </c>
      <c r="H18" s="144"/>
      <c r="I18" s="133" t="s">
        <v>718</v>
      </c>
      <c r="J18" s="92">
        <f>ROUND(INDEX(Data[],MATCH($B$3,Data[Dist],0),MATCH(J$13,Data[#Headers],0))/10,0)</f>
        <v>8183162</v>
      </c>
      <c r="K18" s="92">
        <f>ROUND(INDEX(Data[],MATCH($B$3,Data[Dist],0),MATCH(K$13,Data[#Headers],0))/10,0)</f>
        <v>28293834</v>
      </c>
      <c r="L18" s="92">
        <f>ROUND(INDEX(Data[],MATCH($B$3,Data[Dist],0),MATCH(L$13,Data[#Headers],0))/10,0)</f>
        <v>3489587</v>
      </c>
      <c r="M18" s="92">
        <f>ROUND(INDEX(Data[],MATCH($B$3,Data[Dist],0),MATCH(M$13,Data[#Headers],0))/10,0)</f>
        <v>3205980</v>
      </c>
      <c r="N18" s="92">
        <f>ROUND(INDEX(Data[],MATCH($B$3,Data[Dist],0),MATCH(N$13,Data[#Headers],0))/10,0)</f>
        <v>15946649</v>
      </c>
      <c r="O18" s="92">
        <f t="shared" si="0"/>
        <v>240506627</v>
      </c>
      <c r="P18" s="92">
        <f t="shared" si="1"/>
        <v>299625839</v>
      </c>
      <c r="Q18" s="147"/>
    </row>
    <row r="19" spans="1:17" ht="15.75" customHeight="1" x14ac:dyDescent="0.25">
      <c r="A19" s="90"/>
      <c r="B19" s="102">
        <f>Notes!A36</f>
        <v>43453</v>
      </c>
      <c r="C19" s="99"/>
      <c r="D19" s="92">
        <f>INDEX(Data[],MATCH($B$3,Data[Dist],0),MATCH($G19,Data[#Headers],0))</f>
        <v>299625839</v>
      </c>
      <c r="E19" s="93"/>
      <c r="G19" s="137" t="str">
        <f>Data[[#Headers],[December Payment]]</f>
        <v>December Payment</v>
      </c>
      <c r="H19" s="144"/>
      <c r="I19" s="133" t="s">
        <v>719</v>
      </c>
      <c r="J19" s="92">
        <f>ROUND(INDEX(Data[],MATCH($B$3,Data[Dist],0),MATCH(J$13,Data[#Headers],0))/10,0)</f>
        <v>8183162</v>
      </c>
      <c r="K19" s="92">
        <f>ROUND(INDEX(Data[],MATCH($B$3,Data[Dist],0),MATCH(K$13,Data[#Headers],0))/10,0)</f>
        <v>28293834</v>
      </c>
      <c r="L19" s="92">
        <f>ROUND(INDEX(Data[],MATCH($B$3,Data[Dist],0),MATCH(L$13,Data[#Headers],0))/10,0)</f>
        <v>3489587</v>
      </c>
      <c r="M19" s="92">
        <f>ROUND(INDEX(Data[],MATCH($B$3,Data[Dist],0),MATCH(M$13,Data[#Headers],0))/10,0)</f>
        <v>3205980</v>
      </c>
      <c r="N19" s="92">
        <f>ROUND(INDEX(Data[],MATCH($B$3,Data[Dist],0),MATCH(N$13,Data[#Headers],0))/10,0)</f>
        <v>15946649</v>
      </c>
      <c r="O19" s="92">
        <f t="shared" si="0"/>
        <v>240506627</v>
      </c>
      <c r="P19" s="92">
        <f t="shared" si="1"/>
        <v>299625839</v>
      </c>
      <c r="Q19" s="147"/>
    </row>
    <row r="20" spans="1:17" ht="15.75" customHeight="1" x14ac:dyDescent="0.25">
      <c r="A20" s="90"/>
      <c r="B20" s="102">
        <f>Notes!A37</f>
        <v>43482</v>
      </c>
      <c r="C20" s="99"/>
      <c r="D20" s="92">
        <f>INDEX(Data[],MATCH($B$3,Data[Dist],0),MATCH($G20,Data[#Headers],0))</f>
        <v>297601459</v>
      </c>
      <c r="E20" s="93"/>
      <c r="F20" s="97"/>
      <c r="G20" s="137" t="str">
        <f>Data[[#Headers],[January Payment]]</f>
        <v>January Payment</v>
      </c>
      <c r="H20" s="144"/>
      <c r="I20" s="133" t="s">
        <v>720</v>
      </c>
      <c r="J20" s="92">
        <f>ROUND(INDEX(Data[],MATCH($B$3,Data[Dist],0),MATCH(J$13,Data[#Headers],0))/10,0)</f>
        <v>8183162</v>
      </c>
      <c r="K20" s="92">
        <f>ROUND(INDEX(Data[],MATCH($B$3,Data[Dist],0),MATCH(K$13,Data[#Headers],0))/10,0)</f>
        <v>28293834</v>
      </c>
      <c r="L20" s="92">
        <f>ROUND(INDEX(Data[],MATCH($B$3,Data[Dist],0),MATCH(L$13,Data[#Headers],0))/10,0)</f>
        <v>3489587</v>
      </c>
      <c r="M20" s="92">
        <f>ROUND(INDEX(Data[],MATCH($B$3,Data[Dist],0),MATCH(M$13,Data[#Headers],0))/10,0)</f>
        <v>3205980</v>
      </c>
      <c r="N20" s="92">
        <f>ROUND(INDEX(Data[],MATCH($B$3,Data[Dist],0),MATCH(N$13,Data[#Headers],0))/10,0)</f>
        <v>15946649</v>
      </c>
      <c r="O20" s="92">
        <f t="shared" si="0"/>
        <v>238482247</v>
      </c>
      <c r="P20" s="92">
        <f t="shared" si="1"/>
        <v>297601459</v>
      </c>
      <c r="Q20" s="147"/>
    </row>
    <row r="21" spans="1:17" ht="15.75" customHeight="1" x14ac:dyDescent="0.25">
      <c r="A21" s="90"/>
      <c r="B21" s="102">
        <f>Notes!A38</f>
        <v>43516</v>
      </c>
      <c r="C21" s="99"/>
      <c r="D21" s="92">
        <f>INDEX(Data[],MATCH($B$3,Data[Dist],0),MATCH($G21,Data[#Headers],0))</f>
        <v>297601459</v>
      </c>
      <c r="E21" s="103"/>
      <c r="F21" s="97"/>
      <c r="G21" s="137" t="str">
        <f>Data[[#Headers],[February Payment]]</f>
        <v>February Payment</v>
      </c>
      <c r="H21" s="144"/>
      <c r="I21" s="133" t="s">
        <v>721</v>
      </c>
      <c r="J21" s="92">
        <f>ROUND(INDEX(Data[],MATCH($B$3,Data[Dist],0),MATCH(J$13,Data[#Headers],0))/10,0)</f>
        <v>8183162</v>
      </c>
      <c r="K21" s="92">
        <f>ROUND(INDEX(Data[],MATCH($B$3,Data[Dist],0),MATCH(K$13,Data[#Headers],0))/10,0)</f>
        <v>28293834</v>
      </c>
      <c r="L21" s="92">
        <f>ROUND(INDEX(Data[],MATCH($B$3,Data[Dist],0),MATCH(L$13,Data[#Headers],0))/10,0)</f>
        <v>3489587</v>
      </c>
      <c r="M21" s="92">
        <f>ROUND(INDEX(Data[],MATCH($B$3,Data[Dist],0),MATCH(M$13,Data[#Headers],0))/10,0)</f>
        <v>3205980</v>
      </c>
      <c r="N21" s="92">
        <f>ROUND(INDEX(Data[],MATCH($B$3,Data[Dist],0),MATCH(N$13,Data[#Headers],0))/10,0)</f>
        <v>15946649</v>
      </c>
      <c r="O21" s="92">
        <f t="shared" si="0"/>
        <v>238482247</v>
      </c>
      <c r="P21" s="92">
        <f t="shared" si="1"/>
        <v>297601459</v>
      </c>
      <c r="Q21" s="147"/>
    </row>
    <row r="22" spans="1:17" ht="15.75" customHeight="1" x14ac:dyDescent="0.25">
      <c r="A22" s="90"/>
      <c r="B22" s="102">
        <f>Notes!A39</f>
        <v>43543</v>
      </c>
      <c r="C22" s="99"/>
      <c r="D22" s="92">
        <f>INDEX(Data[],MATCH($B$3,Data[Dist],0),MATCH($G22,Data[#Headers],0))</f>
        <v>296979492</v>
      </c>
      <c r="E22" s="103"/>
      <c r="F22" s="97"/>
      <c r="G22" s="137" t="str">
        <f>Data[[#Headers],[March Payment]]</f>
        <v>March Payment</v>
      </c>
      <c r="H22" s="144"/>
      <c r="I22" s="133" t="s">
        <v>722</v>
      </c>
      <c r="J22" s="92">
        <f>ROUND(INDEX(Data[],MATCH($B$3,Data[Dist],0),MATCH(J$13,Data[#Headers],0))/10,0)</f>
        <v>8183162</v>
      </c>
      <c r="K22" s="92">
        <f>ROUND(INDEX(Data[],MATCH($B$3,Data[Dist],0),MATCH(K$13,Data[#Headers],0))/10,0)</f>
        <v>28293834</v>
      </c>
      <c r="L22" s="92">
        <f>ROUND(INDEX(Data[],MATCH($B$3,Data[Dist],0),MATCH(L$13,Data[#Headers],0))/10,0)</f>
        <v>3489587</v>
      </c>
      <c r="M22" s="92">
        <f>ROUND(INDEX(Data[],MATCH($B$3,Data[Dist],0),MATCH(M$13,Data[#Headers],0))/10,0)</f>
        <v>3205980</v>
      </c>
      <c r="N22" s="92">
        <f>ROUND(INDEX(Data[],MATCH($B$3,Data[Dist],0),MATCH(N$13,Data[#Headers],0))/10,0)</f>
        <v>15946649</v>
      </c>
      <c r="O22" s="92">
        <f t="shared" si="0"/>
        <v>237860280</v>
      </c>
      <c r="P22" s="92">
        <f t="shared" si="1"/>
        <v>296979492</v>
      </c>
      <c r="Q22" s="147"/>
    </row>
    <row r="23" spans="1:17" ht="15.75" customHeight="1" x14ac:dyDescent="0.25">
      <c r="A23" s="90"/>
      <c r="B23" s="102">
        <f>Notes!A40</f>
        <v>43572</v>
      </c>
      <c r="C23" s="99"/>
      <c r="D23" s="92">
        <f>INDEX(Data[],MATCH($B$3,Data[Dist],0),MATCH($G23,Data[#Headers],0))</f>
        <v>296979492</v>
      </c>
      <c r="E23" s="93"/>
      <c r="F23" s="97"/>
      <c r="G23" s="137" t="str">
        <f>Data[[#Headers],[April Payment]]</f>
        <v>April Payment</v>
      </c>
      <c r="H23" s="144"/>
      <c r="I23" s="133" t="s">
        <v>723</v>
      </c>
      <c r="J23" s="92">
        <f>ROUND(INDEX(Data[],MATCH($B$3,Data[Dist],0),MATCH(J$13,Data[#Headers],0))/10,0)</f>
        <v>8183162</v>
      </c>
      <c r="K23" s="92">
        <f>ROUND(INDEX(Data[],MATCH($B$3,Data[Dist],0),MATCH(K$13,Data[#Headers],0))/10,0)</f>
        <v>28293834</v>
      </c>
      <c r="L23" s="92">
        <f>ROUND(INDEX(Data[],MATCH($B$3,Data[Dist],0),MATCH(L$13,Data[#Headers],0))/10,0)</f>
        <v>3489587</v>
      </c>
      <c r="M23" s="92">
        <f>ROUND(INDEX(Data[],MATCH($B$3,Data[Dist],0),MATCH(M$13,Data[#Headers],0))/10,0)</f>
        <v>3205980</v>
      </c>
      <c r="N23" s="92">
        <f>ROUND(INDEX(Data[],MATCH($B$3,Data[Dist],0),MATCH(N$13,Data[#Headers],0))/10,0)</f>
        <v>15946649</v>
      </c>
      <c r="O23" s="92">
        <f t="shared" si="0"/>
        <v>237860280</v>
      </c>
      <c r="P23" s="92">
        <f t="shared" si="1"/>
        <v>296979492</v>
      </c>
      <c r="Q23" s="147"/>
    </row>
    <row r="24" spans="1:17" ht="15.75" customHeight="1" x14ac:dyDescent="0.25">
      <c r="A24" s="90"/>
      <c r="B24" s="102">
        <f>Notes!A41</f>
        <v>43602</v>
      </c>
      <c r="C24" s="99"/>
      <c r="D24" s="92">
        <f>INDEX(Data[],MATCH($B$3,Data[Dist],0),MATCH($G24,Data[#Headers],0))</f>
        <v>296979492</v>
      </c>
      <c r="E24" s="93"/>
      <c r="F24" s="97"/>
      <c r="G24" s="137" t="str">
        <f>Data[[#Headers],[May Payment]]</f>
        <v>May Payment</v>
      </c>
      <c r="H24" s="144"/>
      <c r="I24" s="133" t="s">
        <v>724</v>
      </c>
      <c r="J24" s="92">
        <f>ROUND(INDEX(Data[],MATCH($B$3,Data[Dist],0),MATCH(J$13,Data[#Headers],0))/10,0)</f>
        <v>8183162</v>
      </c>
      <c r="K24" s="92">
        <f>ROUND(INDEX(Data[],MATCH($B$3,Data[Dist],0),MATCH(K$13,Data[#Headers],0))/10,0)</f>
        <v>28293834</v>
      </c>
      <c r="L24" s="92">
        <f>ROUND(INDEX(Data[],MATCH($B$3,Data[Dist],0),MATCH(L$13,Data[#Headers],0))/10,0)</f>
        <v>3489587</v>
      </c>
      <c r="M24" s="92">
        <f>ROUND(INDEX(Data[],MATCH($B$3,Data[Dist],0),MATCH(M$13,Data[#Headers],0))/10,0)</f>
        <v>3205980</v>
      </c>
      <c r="N24" s="92">
        <f>ROUND(INDEX(Data[],MATCH($B$3,Data[Dist],0),MATCH(N$13,Data[#Headers],0))/10,0)</f>
        <v>15946649</v>
      </c>
      <c r="O24" s="92">
        <f t="shared" si="0"/>
        <v>237860280</v>
      </c>
      <c r="P24" s="92">
        <f t="shared" si="1"/>
        <v>296979492</v>
      </c>
      <c r="Q24" s="147"/>
    </row>
    <row r="25" spans="1:17" ht="15.75" customHeight="1" x14ac:dyDescent="0.25">
      <c r="A25" s="90"/>
      <c r="B25" s="102">
        <f>Notes!A42</f>
        <v>43635</v>
      </c>
      <c r="C25" s="99"/>
      <c r="D25" s="92">
        <f>INDEX(Data[],MATCH($B$3,Data[Dist],0),MATCH($G25,Data[#Headers],0))</f>
        <v>296979319</v>
      </c>
      <c r="E25" s="93"/>
      <c r="F25" s="97"/>
      <c r="G25" s="137" t="str">
        <f>Data[[#Headers],[June Payment]]</f>
        <v>June Payment</v>
      </c>
      <c r="H25" s="144"/>
      <c r="I25" s="133" t="s">
        <v>725</v>
      </c>
      <c r="J25" s="129">
        <f>INDEX('Payment by Source'!$A$6:$I$336,MATCH(PaymentSummary!$B$3,'Payment by Source'!$A$6:$A$336,0),MATCH(R$13,'Payment by Source'!$A$4:$I$4,0))</f>
        <v>8183058</v>
      </c>
      <c r="K25" s="129">
        <f>INDEX('Payment by Source'!$A$6:$I$336,MATCH(PaymentSummary!$B$3,'Payment by Source'!$A$6:$A$336,0),MATCH(S$13,'Payment by Source'!$A$4:$I$4,0))</f>
        <v>28293668</v>
      </c>
      <c r="L25" s="129">
        <f>INDEX('Payment by Source'!$A$6:$I$336,MATCH(PaymentSummary!$B$3,'Payment by Source'!$A$6:$A$336,0),MATCH(T$13,'Payment by Source'!$A$4:$I$4,0))</f>
        <v>3489448</v>
      </c>
      <c r="M25" s="129">
        <f>INDEX('Payment by Source'!$A$6:$I$336,MATCH(PaymentSummary!$B$3,'Payment by Source'!$A$6:$A$336,0),MATCH(U$13,'Payment by Source'!$A$4:$I$4,0))</f>
        <v>3205793</v>
      </c>
      <c r="N25" s="129">
        <f>INDEX('Payment by Source'!$A$6:$I$336,MATCH(PaymentSummary!$B$3,'Payment by Source'!$A$6:$A$336,0),MATCH(V$13,'Payment by Source'!$A$4:$I$4,0))</f>
        <v>15946455</v>
      </c>
      <c r="O25" s="129">
        <f>INDEX('Payment by Source'!$A$6:$I$336,MATCH(PaymentSummary!$B$3,'Payment by Source'!$A$6:$A$336,0),MATCH(W$13,'Payment by Source'!$A$4:$I$4,0))</f>
        <v>237860897</v>
      </c>
      <c r="P25" s="92">
        <f t="shared" si="1"/>
        <v>296979319</v>
      </c>
      <c r="Q25" s="147"/>
    </row>
    <row r="26" spans="1:17" ht="15.75" customHeight="1" thickBot="1" x14ac:dyDescent="0.3">
      <c r="A26" s="90"/>
      <c r="B26" s="104" t="str">
        <f>CONCATENATE(TEXT(B25,"   mm/dd/yyyy")," Special Ed Deficit")</f>
        <v xml:space="preserve">   06/19/2019 Special Ed Deficit</v>
      </c>
      <c r="C26" s="99"/>
      <c r="D26" s="92">
        <f>C11</f>
        <v>2172994</v>
      </c>
      <c r="E26" s="93"/>
      <c r="F26" s="97"/>
      <c r="G26" s="137"/>
      <c r="H26" s="144"/>
      <c r="I26" s="133" t="s">
        <v>800</v>
      </c>
      <c r="J26" s="96">
        <f>INDEX(Data[],MATCH($B$3,Data[Dist],0),MATCH(J$13,Data[#Headers],0))</f>
        <v>81831615</v>
      </c>
      <c r="K26" s="96">
        <f>INDEX(Data[],MATCH($B$3,Data[Dist],0),MATCH(K$13,Data[#Headers],0))</f>
        <v>282938336</v>
      </c>
      <c r="L26" s="96">
        <f>INDEX(Data[],MATCH($B$3,Data[Dist],0),MATCH(L$13,Data[#Headers],0))</f>
        <v>34895866</v>
      </c>
      <c r="M26" s="96">
        <f>INDEX(Data[],MATCH($B$3,Data[Dist],0),MATCH(M$13,Data[#Headers],0))</f>
        <v>32059802</v>
      </c>
      <c r="N26" s="96">
        <f>INDEX(Data[],MATCH($B$3,Data[Dist],0),MATCH(N$13,Data[#Headers],0))</f>
        <v>159466485</v>
      </c>
      <c r="O26" s="96">
        <f>SUM(O16:O25)</f>
        <v>2390432739</v>
      </c>
      <c r="P26" s="96">
        <f>SUM(P16:P25)</f>
        <v>2981624069</v>
      </c>
      <c r="Q26" s="147"/>
    </row>
    <row r="27" spans="1:17" ht="18" customHeight="1" thickTop="1" thickBot="1" x14ac:dyDescent="0.3">
      <c r="A27" s="90"/>
      <c r="B27" s="105" t="s">
        <v>791</v>
      </c>
      <c r="C27" s="99"/>
      <c r="D27" s="96">
        <f>SUM(D16:D26)</f>
        <v>2983797063</v>
      </c>
      <c r="E27" s="93"/>
      <c r="F27" s="97"/>
      <c r="H27" s="144"/>
      <c r="I27" s="152"/>
      <c r="J27" s="152"/>
      <c r="K27" s="152"/>
      <c r="L27" s="152"/>
      <c r="M27" s="152"/>
      <c r="N27" s="152"/>
      <c r="O27" s="152"/>
      <c r="P27" s="152"/>
      <c r="Q27" s="147"/>
    </row>
    <row r="28" spans="1:17" ht="13.5" customHeight="1" thickTop="1" x14ac:dyDescent="0.25">
      <c r="A28" s="106"/>
      <c r="B28" s="107"/>
      <c r="C28" s="108"/>
      <c r="D28" s="108"/>
      <c r="E28" s="109"/>
      <c r="F28" s="97"/>
      <c r="H28" s="144"/>
      <c r="I28" s="152"/>
      <c r="J28" s="91" t="str">
        <f>IF($B$3="9999","Note: Total will not add down for statewide totals.","")</f>
        <v>Note: Total will not add down for statewide totals.</v>
      </c>
      <c r="K28" s="153"/>
      <c r="L28" s="153"/>
      <c r="M28" s="153"/>
      <c r="N28" s="153"/>
      <c r="O28" s="153"/>
      <c r="P28" s="152"/>
      <c r="Q28" s="147"/>
    </row>
    <row r="29" spans="1:17" ht="7.5" customHeight="1" x14ac:dyDescent="0.25">
      <c r="A29" s="110"/>
      <c r="B29" s="105"/>
      <c r="C29" s="92"/>
      <c r="D29" s="92"/>
      <c r="E29" s="97"/>
      <c r="F29" s="97"/>
      <c r="H29" s="148"/>
      <c r="I29" s="149"/>
      <c r="J29" s="149"/>
      <c r="K29" s="149"/>
      <c r="L29" s="149"/>
      <c r="M29" s="149"/>
      <c r="N29" s="149"/>
      <c r="O29" s="149"/>
      <c r="P29" s="149"/>
      <c r="Q29" s="150"/>
    </row>
    <row r="30" spans="1:17" ht="7.5" customHeight="1" x14ac:dyDescent="0.25">
      <c r="A30" s="111"/>
      <c r="B30" s="112"/>
      <c r="C30" s="113"/>
      <c r="D30" s="113"/>
      <c r="E30" s="114"/>
      <c r="F30" s="97"/>
    </row>
    <row r="31" spans="1:17" ht="13.9" customHeight="1" x14ac:dyDescent="0.25">
      <c r="A31" s="90"/>
      <c r="B31" s="91" t="s">
        <v>792</v>
      </c>
      <c r="C31" s="92"/>
      <c r="D31" s="92">
        <v>0</v>
      </c>
      <c r="E31" s="93"/>
      <c r="F31" s="97"/>
    </row>
    <row r="32" spans="1:17" ht="7.5" customHeight="1" x14ac:dyDescent="0.25">
      <c r="A32" s="76"/>
      <c r="B32" s="107"/>
      <c r="C32" s="108"/>
      <c r="D32" s="108"/>
      <c r="E32" s="109"/>
    </row>
    <row r="33" spans="1:17" ht="7.5" customHeight="1" x14ac:dyDescent="0.25">
      <c r="B33" s="91"/>
      <c r="C33" s="115"/>
      <c r="D33" s="115"/>
      <c r="E33" s="97"/>
      <c r="H33" s="141"/>
      <c r="I33" s="142"/>
      <c r="J33" s="194" t="s">
        <v>805</v>
      </c>
      <c r="K33" s="194" t="s">
        <v>806</v>
      </c>
      <c r="L33" s="143"/>
    </row>
    <row r="34" spans="1:17" ht="7.5" customHeight="1" x14ac:dyDescent="0.25">
      <c r="A34" s="85"/>
      <c r="B34" s="116"/>
      <c r="C34" s="117"/>
      <c r="D34" s="117"/>
      <c r="E34" s="114"/>
      <c r="H34" s="144"/>
      <c r="I34" s="152"/>
      <c r="J34" s="195"/>
      <c r="K34" s="195"/>
      <c r="L34" s="147"/>
    </row>
    <row r="35" spans="1:17" ht="15.75" customHeight="1" x14ac:dyDescent="0.25">
      <c r="A35" s="73"/>
      <c r="B35" s="91" t="s">
        <v>793</v>
      </c>
      <c r="C35" s="115"/>
      <c r="D35" s="115"/>
      <c r="E35" s="93"/>
      <c r="H35" s="144"/>
      <c r="I35" s="105"/>
      <c r="J35" s="196"/>
      <c r="K35" s="196"/>
      <c r="L35" s="145"/>
      <c r="Q35" s="132"/>
    </row>
    <row r="36" spans="1:17" ht="15.75" customHeight="1" x14ac:dyDescent="0.25">
      <c r="A36" s="73"/>
      <c r="B36" s="104" t="str">
        <f>CONCATENATE("   12/01/",Notes!$B$1-1)</f>
        <v xml:space="preserve">   12/01/2018</v>
      </c>
      <c r="D36" s="118">
        <f>IFERROR(INDEX(SurtaxPayment!$A$6:$U$336,MATCH(PaymentSummary!$B$3,SurtaxPayment!$C$6:$C$336,0),11),0)</f>
        <v>77418821.25</v>
      </c>
      <c r="E36" s="93"/>
      <c r="H36" s="144"/>
      <c r="I36" s="134" t="s">
        <v>719</v>
      </c>
      <c r="J36" s="118">
        <f>IFERROR(INDEX(SurtaxPayment!$A$6:$U$336,MATCH(PaymentSummary!$B$3,SurtaxPayment!$C$6:$C$336,0),12),0)</f>
        <v>7759451.3600000003</v>
      </c>
      <c r="K36" s="118">
        <f>IFERROR(INDEX(SurtaxPayment!$A$6:$U$336,MATCH(PaymentSummary!$B$3,SurtaxPayment!$C$6:$C$336,0),13),0)</f>
        <v>69659369.890000001</v>
      </c>
      <c r="L36" s="146"/>
      <c r="O36" s="131"/>
      <c r="P36" s="131"/>
    </row>
    <row r="37" spans="1:17" ht="15.75" customHeight="1" x14ac:dyDescent="0.25">
      <c r="A37" s="73"/>
      <c r="B37" s="104" t="str">
        <f>CONCATENATE("   02/01/",Notes!$B$1)</f>
        <v xml:space="preserve">   02/01/2019</v>
      </c>
      <c r="D37" s="118">
        <f>IFERROR(INDEX(SurtaxPayment!$A$6:$U$336,MATCH(PaymentSummary!$B$3,SurtaxPayment!$C$6:$C$336,0),15),0)</f>
        <v>29340997.5</v>
      </c>
      <c r="E37" s="93"/>
      <c r="H37" s="144"/>
      <c r="I37" s="134" t="s">
        <v>721</v>
      </c>
      <c r="J37" s="118">
        <f>IFERROR(INDEX(SurtaxPayment!$A$6:$U$336,MATCH(PaymentSummary!$B$3,SurtaxPayment!$C$6:$C$336,0),16),0)</f>
        <v>2890984.7599999993</v>
      </c>
      <c r="K37" s="118">
        <f>IFERROR(INDEX(SurtaxPayment!$A$6:$U$336,MATCH(PaymentSummary!$B$3,SurtaxPayment!$C$6:$C$336,0),17),0)</f>
        <v>26373122.990000017</v>
      </c>
      <c r="L37" s="147"/>
    </row>
    <row r="38" spans="1:17" ht="18" customHeight="1" thickBot="1" x14ac:dyDescent="0.3">
      <c r="A38" s="73"/>
      <c r="B38" s="105" t="s">
        <v>794</v>
      </c>
      <c r="C38" s="118"/>
      <c r="D38" s="119">
        <f>IFERROR(INDEX(SurtaxPayment!$A$6:$U$336,MATCH(PaymentSummary!$B$3,SurtaxPayment!$C$6:$C$336,0),19),0)</f>
        <v>106682929</v>
      </c>
      <c r="E38" s="93"/>
      <c r="H38" s="144"/>
      <c r="I38" s="134" t="s">
        <v>802</v>
      </c>
      <c r="J38" s="135">
        <f>SUM(J36:J37)</f>
        <v>10650436.119999999</v>
      </c>
      <c r="K38" s="135">
        <f>SUM(K36:K37)</f>
        <v>96032492.880000025</v>
      </c>
      <c r="L38" s="147"/>
    </row>
    <row r="39" spans="1:17" ht="7.5" customHeight="1" thickTop="1" x14ac:dyDescent="0.25">
      <c r="A39" s="76"/>
      <c r="B39" s="107"/>
      <c r="C39" s="108"/>
      <c r="D39" s="108"/>
      <c r="E39" s="109"/>
      <c r="H39" s="148"/>
      <c r="I39" s="149"/>
      <c r="J39" s="149"/>
      <c r="K39" s="149"/>
      <c r="L39" s="150"/>
    </row>
    <row r="40" spans="1:17" ht="7.5" customHeight="1" x14ac:dyDescent="0.25">
      <c r="B40" s="91"/>
      <c r="C40" s="115"/>
      <c r="D40" s="115"/>
      <c r="E40" s="97"/>
    </row>
    <row r="41" spans="1:17" ht="7.5" customHeight="1" x14ac:dyDescent="0.25">
      <c r="A41" s="85"/>
      <c r="B41" s="116"/>
      <c r="C41" s="117"/>
      <c r="D41" s="117"/>
      <c r="E41" s="114"/>
    </row>
    <row r="42" spans="1:17" ht="15.75" customHeight="1" x14ac:dyDescent="0.25">
      <c r="A42" s="73"/>
      <c r="B42" s="105" t="str">
        <f>CONCATENATE("FY ",Notes!$B$1," AEA Flowthrough Amount")</f>
        <v>FY 2019 AEA Flowthrough Amount</v>
      </c>
      <c r="C42" s="115"/>
      <c r="D42" s="108">
        <f>INDEX(Data[],MATCH($B$3,Data[Dist],0),MATCH($G42,Data[#Headers],0))</f>
        <v>220653247</v>
      </c>
      <c r="E42" s="93"/>
      <c r="G42" s="136" t="str">
        <f>Data[[#Headers],[State Payments to AEA (AEA Flowthrough)]]</f>
        <v>State Payments to AEA (AEA Flowthrough)</v>
      </c>
    </row>
    <row r="43" spans="1:17" ht="7.5" customHeight="1" x14ac:dyDescent="0.2">
      <c r="A43" s="76"/>
      <c r="B43" s="120"/>
      <c r="C43" s="121"/>
      <c r="D43" s="121"/>
      <c r="E43" s="109"/>
    </row>
    <row r="44" spans="1:17" x14ac:dyDescent="0.2">
      <c r="B44" s="122"/>
      <c r="C44" s="97"/>
      <c r="D44" s="97"/>
    </row>
  </sheetData>
  <sheetProtection sheet="1" objects="1" scenarios="1"/>
  <mergeCells count="13">
    <mergeCell ref="A1:E1"/>
    <mergeCell ref="C2:E2"/>
    <mergeCell ref="J13:J15"/>
    <mergeCell ref="K13:K15"/>
    <mergeCell ref="L13:L15"/>
    <mergeCell ref="I13:I15"/>
    <mergeCell ref="I10:Q11"/>
    <mergeCell ref="K33:K35"/>
    <mergeCell ref="J33:J35"/>
    <mergeCell ref="N13:N15"/>
    <mergeCell ref="O13:O15"/>
    <mergeCell ref="P13:P15"/>
    <mergeCell ref="M13:M15"/>
  </mergeCells>
  <dataValidations count="1">
    <dataValidation type="list" allowBlank="1" showInputMessage="1" showErrorMessage="1" sqref="B2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06/26/2019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4"/>
  <sheetViews>
    <sheetView workbookViewId="0">
      <pane xSplit="3" ySplit="5" topLeftCell="D312" activePane="bottomRight" state="frozen"/>
      <selection pane="topRight" activeCell="C1" sqref="C1"/>
      <selection pane="bottomLeft" activeCell="A6" sqref="A6"/>
      <selection pane="bottomRight" activeCell="O194" activeCellId="2" sqref="O336 K336 O194"/>
    </sheetView>
  </sheetViews>
  <sheetFormatPr defaultRowHeight="11.25" x14ac:dyDescent="0.2"/>
  <cols>
    <col min="1" max="2" width="9.140625" style="209" customWidth="1"/>
    <col min="3" max="3" width="9.140625" style="48"/>
    <col min="4" max="5" width="9.140625" style="209" customWidth="1"/>
    <col min="6" max="6" width="5" style="210" customWidth="1"/>
    <col min="7" max="7" width="32.28515625" style="48" bestFit="1" customWidth="1"/>
    <col min="8" max="8" width="11" style="48" bestFit="1" customWidth="1"/>
    <col min="9" max="9" width="12.7109375" style="48" customWidth="1"/>
    <col min="10" max="10" width="1.7109375" style="48" customWidth="1"/>
    <col min="11" max="11" width="12.7109375" style="48" bestFit="1" customWidth="1"/>
    <col min="12" max="12" width="13.5703125" style="48" bestFit="1" customWidth="1"/>
    <col min="13" max="13" width="12.85546875" style="48" bestFit="1" customWidth="1"/>
    <col min="14" max="14" width="1.7109375" style="48" customWidth="1"/>
    <col min="15" max="15" width="13.28515625" style="48" customWidth="1"/>
    <col min="16" max="16" width="12.42578125" style="48" customWidth="1"/>
    <col min="17" max="17" width="13.85546875" style="48" customWidth="1"/>
    <col min="18" max="18" width="1.7109375" style="48" customWidth="1"/>
    <col min="19" max="19" width="13.85546875" style="48" customWidth="1"/>
    <col min="20" max="21" width="12.7109375" style="48" customWidth="1"/>
    <col min="22" max="16384" width="9.140625" style="48"/>
  </cols>
  <sheetData>
    <row r="1" spans="1:22" ht="15" x14ac:dyDescent="0.25">
      <c r="G1" s="211" t="s">
        <v>1492</v>
      </c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2" ht="15" x14ac:dyDescent="0.25">
      <c r="G2" s="211" t="s">
        <v>1493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2" ht="15" x14ac:dyDescent="0.25">
      <c r="F3" s="212"/>
      <c r="G3" s="213"/>
      <c r="H3" s="213"/>
      <c r="I3" s="213"/>
      <c r="J3" s="213"/>
      <c r="K3" s="213"/>
      <c r="L3" s="213"/>
      <c r="M3" s="213"/>
    </row>
    <row r="4" spans="1:22" ht="15" customHeight="1" x14ac:dyDescent="0.25">
      <c r="F4" s="214"/>
      <c r="G4" s="215"/>
      <c r="J4" s="216"/>
      <c r="K4" s="217" t="s">
        <v>1494</v>
      </c>
      <c r="L4" s="217"/>
      <c r="M4" s="217"/>
      <c r="N4" s="216"/>
      <c r="O4" s="217" t="s">
        <v>1495</v>
      </c>
      <c r="P4" s="217"/>
      <c r="Q4" s="217"/>
      <c r="R4" s="218"/>
      <c r="S4" s="217" t="s">
        <v>802</v>
      </c>
      <c r="T4" s="217"/>
      <c r="U4" s="217"/>
    </row>
    <row r="5" spans="1:22" ht="45" x14ac:dyDescent="0.25">
      <c r="A5" s="209" t="s">
        <v>353</v>
      </c>
      <c r="B5" s="209" t="s">
        <v>1467</v>
      </c>
      <c r="C5" s="219" t="s">
        <v>808</v>
      </c>
      <c r="D5" s="209" t="s">
        <v>1468</v>
      </c>
      <c r="E5" s="209" t="s">
        <v>1469</v>
      </c>
      <c r="F5" s="220" t="s">
        <v>354</v>
      </c>
      <c r="G5" s="221" t="s">
        <v>1144</v>
      </c>
      <c r="H5" s="222" t="s">
        <v>803</v>
      </c>
      <c r="I5" s="223" t="s">
        <v>804</v>
      </c>
      <c r="J5" s="224"/>
      <c r="K5" s="225" t="s">
        <v>731</v>
      </c>
      <c r="L5" s="223" t="s">
        <v>805</v>
      </c>
      <c r="M5" s="223" t="s">
        <v>806</v>
      </c>
      <c r="N5" s="216"/>
      <c r="O5" s="226" t="s">
        <v>731</v>
      </c>
      <c r="P5" s="222" t="s">
        <v>805</v>
      </c>
      <c r="Q5" s="222" t="s">
        <v>806</v>
      </c>
      <c r="R5" s="216"/>
      <c r="S5" s="226" t="s">
        <v>731</v>
      </c>
      <c r="T5" s="222" t="s">
        <v>805</v>
      </c>
      <c r="U5" s="222" t="s">
        <v>806</v>
      </c>
    </row>
    <row r="6" spans="1:22" x14ac:dyDescent="0.2">
      <c r="A6" s="227">
        <v>2019</v>
      </c>
      <c r="B6" s="227" t="s">
        <v>1470</v>
      </c>
      <c r="C6" s="228" t="s">
        <v>21</v>
      </c>
      <c r="D6" s="229"/>
      <c r="E6" s="229"/>
      <c r="F6" s="229" t="s">
        <v>21</v>
      </c>
      <c r="G6" s="228" t="s">
        <v>1146</v>
      </c>
      <c r="H6" s="230">
        <v>4</v>
      </c>
      <c r="I6" s="230">
        <v>4</v>
      </c>
      <c r="J6" s="231"/>
      <c r="K6" s="230">
        <v>114361.5</v>
      </c>
      <c r="L6" s="230">
        <v>57180.75</v>
      </c>
      <c r="M6" s="230">
        <v>57180.75</v>
      </c>
      <c r="N6" s="231"/>
      <c r="O6" s="230">
        <v>53641.5</v>
      </c>
      <c r="P6" s="230">
        <v>26820.75</v>
      </c>
      <c r="Q6" s="230">
        <v>26820.75</v>
      </c>
      <c r="R6" s="231"/>
      <c r="S6" s="230">
        <v>168003</v>
      </c>
      <c r="T6" s="230">
        <v>84001.5</v>
      </c>
      <c r="U6" s="230">
        <v>84001.5</v>
      </c>
      <c r="V6" s="232"/>
    </row>
    <row r="7" spans="1:22" x14ac:dyDescent="0.2">
      <c r="A7" s="227">
        <v>2019</v>
      </c>
      <c r="B7" s="227" t="s">
        <v>1470</v>
      </c>
      <c r="C7" s="228" t="s">
        <v>22</v>
      </c>
      <c r="D7" s="229"/>
      <c r="E7" s="229"/>
      <c r="F7" s="229" t="s">
        <v>22</v>
      </c>
      <c r="G7" s="228" t="s">
        <v>1147</v>
      </c>
      <c r="H7" s="230">
        <v>0</v>
      </c>
      <c r="I7" s="230">
        <v>0</v>
      </c>
      <c r="J7" s="231"/>
      <c r="K7" s="230">
        <v>0</v>
      </c>
      <c r="L7" s="230">
        <v>0</v>
      </c>
      <c r="M7" s="230">
        <v>0</v>
      </c>
      <c r="N7" s="231"/>
      <c r="O7" s="230">
        <v>0</v>
      </c>
      <c r="P7" s="230">
        <v>0</v>
      </c>
      <c r="Q7" s="230">
        <v>0</v>
      </c>
      <c r="R7" s="231"/>
      <c r="S7" s="230">
        <v>0</v>
      </c>
      <c r="T7" s="230">
        <v>0</v>
      </c>
      <c r="U7" s="230">
        <v>0</v>
      </c>
      <c r="V7" s="232"/>
    </row>
    <row r="8" spans="1:22" x14ac:dyDescent="0.2">
      <c r="A8" s="227">
        <v>2019</v>
      </c>
      <c r="B8" s="227" t="s">
        <v>1471</v>
      </c>
      <c r="C8" s="228" t="s">
        <v>20</v>
      </c>
      <c r="D8" s="229"/>
      <c r="E8" s="229"/>
      <c r="F8" s="229" t="s">
        <v>20</v>
      </c>
      <c r="G8" s="228" t="s">
        <v>0</v>
      </c>
      <c r="H8" s="230">
        <v>8</v>
      </c>
      <c r="I8" s="230">
        <v>0</v>
      </c>
      <c r="J8" s="231"/>
      <c r="K8" s="230">
        <v>229272</v>
      </c>
      <c r="L8" s="230">
        <v>229272</v>
      </c>
      <c r="M8" s="230">
        <v>0</v>
      </c>
      <c r="N8" s="231"/>
      <c r="O8" s="230">
        <v>80358</v>
      </c>
      <c r="P8" s="230">
        <v>80358</v>
      </c>
      <c r="Q8" s="230">
        <v>0</v>
      </c>
      <c r="R8" s="231"/>
      <c r="S8" s="230">
        <v>309630</v>
      </c>
      <c r="T8" s="230">
        <v>309630</v>
      </c>
      <c r="U8" s="230">
        <v>0</v>
      </c>
      <c r="V8" s="232"/>
    </row>
    <row r="9" spans="1:22" x14ac:dyDescent="0.2">
      <c r="A9" s="227">
        <v>2019</v>
      </c>
      <c r="B9" s="227" t="s">
        <v>1472</v>
      </c>
      <c r="C9" s="228" t="s">
        <v>42</v>
      </c>
      <c r="D9" s="229" t="s">
        <v>1473</v>
      </c>
      <c r="E9" s="229"/>
      <c r="F9" s="229" t="s">
        <v>42</v>
      </c>
      <c r="G9" s="228" t="s">
        <v>19</v>
      </c>
      <c r="H9" s="230">
        <v>0</v>
      </c>
      <c r="I9" s="230">
        <v>9</v>
      </c>
      <c r="J9" s="231"/>
      <c r="K9" s="230">
        <v>257060.25</v>
      </c>
      <c r="L9" s="230">
        <v>0</v>
      </c>
      <c r="M9" s="230">
        <v>257060.25</v>
      </c>
      <c r="N9" s="231"/>
      <c r="O9" s="230">
        <v>94554.75</v>
      </c>
      <c r="P9" s="230">
        <v>0</v>
      </c>
      <c r="Q9" s="230">
        <v>94554.75</v>
      </c>
      <c r="R9" s="231"/>
      <c r="S9" s="230">
        <v>351615</v>
      </c>
      <c r="T9" s="230">
        <v>0</v>
      </c>
      <c r="U9" s="230">
        <v>351615</v>
      </c>
      <c r="V9" s="232"/>
    </row>
    <row r="10" spans="1:22" x14ac:dyDescent="0.2">
      <c r="A10" s="227">
        <v>2019</v>
      </c>
      <c r="B10" s="227" t="s">
        <v>1474</v>
      </c>
      <c r="C10" s="228" t="s">
        <v>23</v>
      </c>
      <c r="D10" s="229"/>
      <c r="E10" s="229"/>
      <c r="F10" s="229" t="s">
        <v>23</v>
      </c>
      <c r="G10" s="228" t="s">
        <v>1148</v>
      </c>
      <c r="H10" s="230">
        <v>0</v>
      </c>
      <c r="I10" s="230">
        <v>4</v>
      </c>
      <c r="J10" s="231"/>
      <c r="K10" s="230">
        <v>79354.5</v>
      </c>
      <c r="L10" s="230">
        <v>0</v>
      </c>
      <c r="M10" s="230">
        <v>79354.5</v>
      </c>
      <c r="N10" s="231"/>
      <c r="O10" s="230">
        <v>30662.5</v>
      </c>
      <c r="P10" s="230">
        <v>0</v>
      </c>
      <c r="Q10" s="230">
        <v>30662.5</v>
      </c>
      <c r="R10" s="231"/>
      <c r="S10" s="230">
        <v>110017</v>
      </c>
      <c r="T10" s="230">
        <v>0</v>
      </c>
      <c r="U10" s="230">
        <v>110017</v>
      </c>
      <c r="V10" s="232"/>
    </row>
    <row r="11" spans="1:22" x14ac:dyDescent="0.2">
      <c r="A11" s="227">
        <v>2019</v>
      </c>
      <c r="B11" s="227" t="s">
        <v>1475</v>
      </c>
      <c r="C11" s="228" t="s">
        <v>24</v>
      </c>
      <c r="D11" s="229"/>
      <c r="E11" s="229"/>
      <c r="F11" s="229" t="s">
        <v>24</v>
      </c>
      <c r="G11" s="228" t="s">
        <v>1149</v>
      </c>
      <c r="H11" s="230">
        <v>0</v>
      </c>
      <c r="I11" s="230">
        <v>0</v>
      </c>
      <c r="J11" s="231"/>
      <c r="K11" s="230">
        <v>0</v>
      </c>
      <c r="L11" s="230">
        <v>0</v>
      </c>
      <c r="M11" s="230">
        <v>0</v>
      </c>
      <c r="N11" s="231"/>
      <c r="O11" s="230">
        <v>0</v>
      </c>
      <c r="P11" s="230">
        <v>0</v>
      </c>
      <c r="Q11" s="230">
        <v>0</v>
      </c>
      <c r="R11" s="231"/>
      <c r="S11" s="230">
        <v>0</v>
      </c>
      <c r="T11" s="230">
        <v>0</v>
      </c>
      <c r="U11" s="230">
        <v>0</v>
      </c>
      <c r="V11" s="232"/>
    </row>
    <row r="12" spans="1:22" x14ac:dyDescent="0.2">
      <c r="A12" s="227">
        <v>2019</v>
      </c>
      <c r="B12" s="227" t="s">
        <v>1476</v>
      </c>
      <c r="C12" s="228" t="s">
        <v>25</v>
      </c>
      <c r="D12" s="229"/>
      <c r="E12" s="229"/>
      <c r="F12" s="229" t="s">
        <v>25</v>
      </c>
      <c r="G12" s="228" t="s">
        <v>1150</v>
      </c>
      <c r="H12" s="230">
        <v>0</v>
      </c>
      <c r="I12" s="230">
        <v>9</v>
      </c>
      <c r="J12" s="231"/>
      <c r="K12" s="230">
        <v>373692</v>
      </c>
      <c r="L12" s="230">
        <v>0</v>
      </c>
      <c r="M12" s="230">
        <v>373692</v>
      </c>
      <c r="N12" s="231"/>
      <c r="O12" s="230">
        <v>145822</v>
      </c>
      <c r="P12" s="230">
        <v>0</v>
      </c>
      <c r="Q12" s="230">
        <v>145822</v>
      </c>
      <c r="R12" s="231"/>
      <c r="S12" s="230">
        <v>519514</v>
      </c>
      <c r="T12" s="230">
        <v>0</v>
      </c>
      <c r="U12" s="230">
        <v>519514</v>
      </c>
      <c r="V12" s="232"/>
    </row>
    <row r="13" spans="1:22" x14ac:dyDescent="0.2">
      <c r="A13" s="227">
        <v>2019</v>
      </c>
      <c r="B13" s="227" t="s">
        <v>1477</v>
      </c>
      <c r="C13" s="228" t="s">
        <v>26</v>
      </c>
      <c r="D13" s="229"/>
      <c r="E13" s="229"/>
      <c r="F13" s="229" t="s">
        <v>26</v>
      </c>
      <c r="G13" s="228" t="s">
        <v>1151</v>
      </c>
      <c r="H13" s="230">
        <v>1</v>
      </c>
      <c r="I13" s="230">
        <v>0</v>
      </c>
      <c r="J13" s="231"/>
      <c r="K13" s="230">
        <v>34939.5</v>
      </c>
      <c r="L13" s="230">
        <v>34939.5</v>
      </c>
      <c r="M13" s="230">
        <v>0</v>
      </c>
      <c r="N13" s="231"/>
      <c r="O13" s="230">
        <v>12617.5</v>
      </c>
      <c r="P13" s="230">
        <v>12617.5</v>
      </c>
      <c r="Q13" s="230">
        <v>0</v>
      </c>
      <c r="R13" s="231"/>
      <c r="S13" s="230">
        <v>47557</v>
      </c>
      <c r="T13" s="230">
        <v>47557</v>
      </c>
      <c r="U13" s="230">
        <v>0</v>
      </c>
      <c r="V13" s="232"/>
    </row>
    <row r="14" spans="1:22" x14ac:dyDescent="0.2">
      <c r="A14" s="227">
        <v>2019</v>
      </c>
      <c r="B14" s="227" t="s">
        <v>1471</v>
      </c>
      <c r="C14" s="228" t="s">
        <v>27</v>
      </c>
      <c r="D14" s="229"/>
      <c r="E14" s="229"/>
      <c r="F14" s="229" t="s">
        <v>27</v>
      </c>
      <c r="G14" s="228" t="s">
        <v>1152</v>
      </c>
      <c r="H14" s="230">
        <v>0</v>
      </c>
      <c r="I14" s="230">
        <v>9</v>
      </c>
      <c r="J14" s="231"/>
      <c r="K14" s="230">
        <v>81004.5</v>
      </c>
      <c r="L14" s="230">
        <v>0</v>
      </c>
      <c r="M14" s="230">
        <v>81004.5</v>
      </c>
      <c r="N14" s="231"/>
      <c r="O14" s="230">
        <v>27402.5</v>
      </c>
      <c r="P14" s="230">
        <v>0</v>
      </c>
      <c r="Q14" s="230">
        <v>27402.5</v>
      </c>
      <c r="R14" s="231"/>
      <c r="S14" s="230">
        <v>108407</v>
      </c>
      <c r="T14" s="230">
        <v>0</v>
      </c>
      <c r="U14" s="230">
        <v>108407</v>
      </c>
      <c r="V14" s="232"/>
    </row>
    <row r="15" spans="1:22" x14ac:dyDescent="0.2">
      <c r="A15" s="227">
        <v>2019</v>
      </c>
      <c r="B15" s="227" t="s">
        <v>1475</v>
      </c>
      <c r="C15" s="228" t="s">
        <v>28</v>
      </c>
      <c r="D15" s="229" t="s">
        <v>1478</v>
      </c>
      <c r="E15" s="229"/>
      <c r="F15" s="229" t="s">
        <v>28</v>
      </c>
      <c r="G15" s="228" t="s">
        <v>1153</v>
      </c>
      <c r="H15" s="230">
        <v>0</v>
      </c>
      <c r="I15" s="230">
        <v>6</v>
      </c>
      <c r="J15" s="231"/>
      <c r="K15" s="230">
        <v>467390.25</v>
      </c>
      <c r="L15" s="230">
        <v>0</v>
      </c>
      <c r="M15" s="230">
        <v>467390.25</v>
      </c>
      <c r="N15" s="231"/>
      <c r="O15" s="230">
        <v>177402.75</v>
      </c>
      <c r="P15" s="230">
        <v>0</v>
      </c>
      <c r="Q15" s="230">
        <v>177402.75</v>
      </c>
      <c r="R15" s="231"/>
      <c r="S15" s="230">
        <v>644793</v>
      </c>
      <c r="T15" s="230">
        <v>0</v>
      </c>
      <c r="U15" s="230">
        <v>644793</v>
      </c>
      <c r="V15" s="232"/>
    </row>
    <row r="16" spans="1:22" x14ac:dyDescent="0.2">
      <c r="A16" s="227">
        <v>2019</v>
      </c>
      <c r="B16" s="227" t="s">
        <v>1479</v>
      </c>
      <c r="C16" s="228" t="s">
        <v>29</v>
      </c>
      <c r="D16" s="229"/>
      <c r="E16" s="229"/>
      <c r="F16" s="229" t="s">
        <v>29</v>
      </c>
      <c r="G16" s="228" t="s">
        <v>1154</v>
      </c>
      <c r="H16" s="230">
        <v>8</v>
      </c>
      <c r="I16" s="230">
        <v>0</v>
      </c>
      <c r="J16" s="231"/>
      <c r="K16" s="230">
        <v>367288.5</v>
      </c>
      <c r="L16" s="230">
        <v>367288.5</v>
      </c>
      <c r="M16" s="230">
        <v>0</v>
      </c>
      <c r="N16" s="231"/>
      <c r="O16" s="230">
        <v>134472.5</v>
      </c>
      <c r="P16" s="230">
        <v>134472.5</v>
      </c>
      <c r="Q16" s="230">
        <v>0</v>
      </c>
      <c r="R16" s="231"/>
      <c r="S16" s="230">
        <v>501761</v>
      </c>
      <c r="T16" s="230">
        <v>501761</v>
      </c>
      <c r="U16" s="230">
        <v>0</v>
      </c>
      <c r="V16" s="232"/>
    </row>
    <row r="17" spans="1:22" x14ac:dyDescent="0.2">
      <c r="A17" s="227">
        <v>2019</v>
      </c>
      <c r="B17" s="227" t="s">
        <v>1475</v>
      </c>
      <c r="C17" s="228" t="s">
        <v>31</v>
      </c>
      <c r="D17" s="229" t="s">
        <v>41</v>
      </c>
      <c r="E17" s="229"/>
      <c r="F17" s="229" t="s">
        <v>31</v>
      </c>
      <c r="G17" s="228" t="s">
        <v>1155</v>
      </c>
      <c r="H17" s="230">
        <v>0</v>
      </c>
      <c r="I17" s="230">
        <v>15</v>
      </c>
      <c r="J17" s="231"/>
      <c r="K17" s="230">
        <v>260364.75</v>
      </c>
      <c r="L17" s="230">
        <v>0</v>
      </c>
      <c r="M17" s="230">
        <v>260364.75</v>
      </c>
      <c r="N17" s="231"/>
      <c r="O17" s="230">
        <v>93029.25</v>
      </c>
      <c r="P17" s="230">
        <v>0</v>
      </c>
      <c r="Q17" s="230">
        <v>93029.25</v>
      </c>
      <c r="R17" s="231"/>
      <c r="S17" s="230">
        <v>353394</v>
      </c>
      <c r="T17" s="230">
        <v>0</v>
      </c>
      <c r="U17" s="230">
        <v>353394</v>
      </c>
      <c r="V17" s="232"/>
    </row>
    <row r="18" spans="1:22" x14ac:dyDescent="0.2">
      <c r="A18" s="227">
        <v>2019</v>
      </c>
      <c r="B18" s="227" t="s">
        <v>1470</v>
      </c>
      <c r="C18" s="228" t="s">
        <v>32</v>
      </c>
      <c r="D18" s="229"/>
      <c r="E18" s="229"/>
      <c r="F18" s="229" t="s">
        <v>32</v>
      </c>
      <c r="G18" s="228" t="s">
        <v>1156</v>
      </c>
      <c r="H18" s="230">
        <v>0</v>
      </c>
      <c r="I18" s="230">
        <v>4</v>
      </c>
      <c r="J18" s="231"/>
      <c r="K18" s="230">
        <v>1496390.25</v>
      </c>
      <c r="L18" s="230">
        <v>0</v>
      </c>
      <c r="M18" s="230">
        <v>1496390.25</v>
      </c>
      <c r="N18" s="231"/>
      <c r="O18" s="230">
        <v>591964.75</v>
      </c>
      <c r="P18" s="230">
        <v>0</v>
      </c>
      <c r="Q18" s="230">
        <v>591964.75</v>
      </c>
      <c r="R18" s="231"/>
      <c r="S18" s="230">
        <v>2088355</v>
      </c>
      <c r="T18" s="230">
        <v>0</v>
      </c>
      <c r="U18" s="230">
        <v>2088355</v>
      </c>
      <c r="V18" s="232"/>
    </row>
    <row r="19" spans="1:22" x14ac:dyDescent="0.2">
      <c r="A19" s="227">
        <v>2019</v>
      </c>
      <c r="B19" s="227" t="s">
        <v>1477</v>
      </c>
      <c r="C19" s="228" t="s">
        <v>33</v>
      </c>
      <c r="D19" s="229"/>
      <c r="E19" s="229"/>
      <c r="F19" s="229" t="s">
        <v>33</v>
      </c>
      <c r="G19" s="228" t="s">
        <v>1157</v>
      </c>
      <c r="H19" s="230">
        <v>0</v>
      </c>
      <c r="I19" s="230">
        <v>7</v>
      </c>
      <c r="J19" s="231"/>
      <c r="K19" s="230">
        <v>434001</v>
      </c>
      <c r="L19" s="230">
        <v>0</v>
      </c>
      <c r="M19" s="230">
        <v>434001</v>
      </c>
      <c r="N19" s="231"/>
      <c r="O19" s="230">
        <v>157606</v>
      </c>
      <c r="P19" s="230">
        <v>0</v>
      </c>
      <c r="Q19" s="230">
        <v>157606</v>
      </c>
      <c r="R19" s="231"/>
      <c r="S19" s="230">
        <v>591607</v>
      </c>
      <c r="T19" s="230">
        <v>0</v>
      </c>
      <c r="U19" s="230">
        <v>591607</v>
      </c>
      <c r="V19" s="232"/>
    </row>
    <row r="20" spans="1:22" x14ac:dyDescent="0.2">
      <c r="A20" s="227">
        <v>2019</v>
      </c>
      <c r="B20" s="227" t="s">
        <v>1480</v>
      </c>
      <c r="C20" s="228" t="s">
        <v>34</v>
      </c>
      <c r="D20" s="229"/>
      <c r="E20" s="229"/>
      <c r="F20" s="229" t="s">
        <v>34</v>
      </c>
      <c r="G20" s="228" t="s">
        <v>1158</v>
      </c>
      <c r="H20" s="230">
        <v>0</v>
      </c>
      <c r="I20" s="230">
        <v>11</v>
      </c>
      <c r="J20" s="231"/>
      <c r="K20" s="230">
        <v>108220.5</v>
      </c>
      <c r="L20" s="230">
        <v>0</v>
      </c>
      <c r="M20" s="230">
        <v>108220.5</v>
      </c>
      <c r="N20" s="231"/>
      <c r="O20" s="230">
        <v>37000.5</v>
      </c>
      <c r="P20" s="230">
        <v>0</v>
      </c>
      <c r="Q20" s="230">
        <v>37000.5</v>
      </c>
      <c r="R20" s="231"/>
      <c r="S20" s="230">
        <v>145221</v>
      </c>
      <c r="T20" s="230">
        <v>0</v>
      </c>
      <c r="U20" s="230">
        <v>145221</v>
      </c>
      <c r="V20" s="232"/>
    </row>
    <row r="21" spans="1:22" x14ac:dyDescent="0.2">
      <c r="A21" s="227">
        <v>2019</v>
      </c>
      <c r="B21" s="227" t="s">
        <v>1470</v>
      </c>
      <c r="C21" s="228" t="s">
        <v>35</v>
      </c>
      <c r="D21" s="229"/>
      <c r="E21" s="229"/>
      <c r="F21" s="229" t="s">
        <v>35</v>
      </c>
      <c r="G21" s="228" t="s">
        <v>1159</v>
      </c>
      <c r="H21" s="230">
        <v>0</v>
      </c>
      <c r="I21" s="230">
        <v>0</v>
      </c>
      <c r="J21" s="231"/>
      <c r="K21" s="230">
        <v>0</v>
      </c>
      <c r="L21" s="230">
        <v>0</v>
      </c>
      <c r="M21" s="230">
        <v>0</v>
      </c>
      <c r="N21" s="231"/>
      <c r="O21" s="230">
        <v>0</v>
      </c>
      <c r="P21" s="230">
        <v>0</v>
      </c>
      <c r="Q21" s="230">
        <v>0</v>
      </c>
      <c r="R21" s="231"/>
      <c r="S21" s="230">
        <v>0</v>
      </c>
      <c r="T21" s="230">
        <v>0</v>
      </c>
      <c r="U21" s="230">
        <v>0</v>
      </c>
      <c r="V21" s="232"/>
    </row>
    <row r="22" spans="1:22" x14ac:dyDescent="0.2">
      <c r="A22" s="227">
        <v>2019</v>
      </c>
      <c r="B22" s="227" t="s">
        <v>1471</v>
      </c>
      <c r="C22" s="228" t="s">
        <v>36</v>
      </c>
      <c r="D22" s="229"/>
      <c r="E22" s="229"/>
      <c r="F22" s="229" t="s">
        <v>36</v>
      </c>
      <c r="G22" s="228" t="s">
        <v>1160</v>
      </c>
      <c r="H22" s="230">
        <v>0</v>
      </c>
      <c r="I22" s="230">
        <v>7</v>
      </c>
      <c r="J22" s="231"/>
      <c r="K22" s="230">
        <v>220395</v>
      </c>
      <c r="L22" s="230">
        <v>0</v>
      </c>
      <c r="M22" s="230">
        <v>220395</v>
      </c>
      <c r="N22" s="231"/>
      <c r="O22" s="230">
        <v>86482</v>
      </c>
      <c r="P22" s="230">
        <v>0</v>
      </c>
      <c r="Q22" s="230">
        <v>86482</v>
      </c>
      <c r="R22" s="231"/>
      <c r="S22" s="230">
        <v>306877</v>
      </c>
      <c r="T22" s="230">
        <v>0</v>
      </c>
      <c r="U22" s="230">
        <v>306877</v>
      </c>
      <c r="V22" s="232"/>
    </row>
    <row r="23" spans="1:22" x14ac:dyDescent="0.2">
      <c r="A23" s="227">
        <v>2019</v>
      </c>
      <c r="B23" s="227" t="s">
        <v>1474</v>
      </c>
      <c r="C23" s="228" t="s">
        <v>38</v>
      </c>
      <c r="D23" s="229"/>
      <c r="E23" s="229"/>
      <c r="F23" s="229" t="s">
        <v>38</v>
      </c>
      <c r="G23" s="228" t="s">
        <v>1161</v>
      </c>
      <c r="H23" s="230">
        <v>0</v>
      </c>
      <c r="I23" s="230">
        <v>9</v>
      </c>
      <c r="J23" s="231"/>
      <c r="K23" s="230">
        <v>115649.25</v>
      </c>
      <c r="L23" s="230">
        <v>0</v>
      </c>
      <c r="M23" s="230">
        <v>115649.25</v>
      </c>
      <c r="N23" s="231"/>
      <c r="O23" s="230">
        <v>47887.75</v>
      </c>
      <c r="P23" s="230">
        <v>0</v>
      </c>
      <c r="Q23" s="230">
        <v>47887.75</v>
      </c>
      <c r="R23" s="231"/>
      <c r="S23" s="230">
        <v>163537</v>
      </c>
      <c r="T23" s="230">
        <v>0</v>
      </c>
      <c r="U23" s="230">
        <v>163537</v>
      </c>
      <c r="V23" s="232"/>
    </row>
    <row r="24" spans="1:22" x14ac:dyDescent="0.2">
      <c r="A24" s="227">
        <v>2019</v>
      </c>
      <c r="B24" s="227" t="s">
        <v>1472</v>
      </c>
      <c r="C24" s="228" t="s">
        <v>39</v>
      </c>
      <c r="D24" s="229"/>
      <c r="E24" s="229"/>
      <c r="F24" s="229" t="s">
        <v>39</v>
      </c>
      <c r="G24" s="228" t="s">
        <v>1162</v>
      </c>
      <c r="H24" s="230">
        <v>4</v>
      </c>
      <c r="I24" s="230">
        <v>8</v>
      </c>
      <c r="J24" s="231"/>
      <c r="K24" s="230">
        <v>626256</v>
      </c>
      <c r="L24" s="230">
        <v>208752</v>
      </c>
      <c r="M24" s="230">
        <v>417504</v>
      </c>
      <c r="N24" s="231"/>
      <c r="O24" s="230">
        <v>254805</v>
      </c>
      <c r="P24" s="230">
        <v>84935</v>
      </c>
      <c r="Q24" s="230">
        <v>169870</v>
      </c>
      <c r="R24" s="231"/>
      <c r="S24" s="230">
        <v>881061</v>
      </c>
      <c r="T24" s="230">
        <v>293687</v>
      </c>
      <c r="U24" s="230">
        <v>587374</v>
      </c>
      <c r="V24" s="232"/>
    </row>
    <row r="25" spans="1:22" x14ac:dyDescent="0.2">
      <c r="A25" s="227">
        <v>2019</v>
      </c>
      <c r="B25" s="227" t="s">
        <v>1470</v>
      </c>
      <c r="C25" s="228" t="s">
        <v>40</v>
      </c>
      <c r="D25" s="229"/>
      <c r="E25" s="229"/>
      <c r="F25" s="229" t="s">
        <v>40</v>
      </c>
      <c r="G25" s="228" t="s">
        <v>1163</v>
      </c>
      <c r="H25" s="230">
        <v>0</v>
      </c>
      <c r="I25" s="230">
        <v>6</v>
      </c>
      <c r="J25" s="231"/>
      <c r="K25" s="230">
        <v>147576</v>
      </c>
      <c r="L25" s="230">
        <v>0</v>
      </c>
      <c r="M25" s="230">
        <v>147576</v>
      </c>
      <c r="N25" s="231"/>
      <c r="O25" s="230">
        <v>52600</v>
      </c>
      <c r="P25" s="230">
        <v>0</v>
      </c>
      <c r="Q25" s="230">
        <v>52600</v>
      </c>
      <c r="R25" s="231"/>
      <c r="S25" s="230">
        <v>200176</v>
      </c>
      <c r="T25" s="230">
        <v>0</v>
      </c>
      <c r="U25" s="230">
        <v>200176</v>
      </c>
      <c r="V25" s="232"/>
    </row>
    <row r="26" spans="1:22" x14ac:dyDescent="0.2">
      <c r="A26" s="227">
        <v>2019</v>
      </c>
      <c r="B26" s="227" t="s">
        <v>1470</v>
      </c>
      <c r="C26" s="228" t="s">
        <v>43</v>
      </c>
      <c r="D26" s="229"/>
      <c r="E26" s="229"/>
      <c r="F26" s="229" t="s">
        <v>43</v>
      </c>
      <c r="G26" s="228" t="s">
        <v>1164</v>
      </c>
      <c r="H26" s="230">
        <v>2</v>
      </c>
      <c r="I26" s="230">
        <v>0</v>
      </c>
      <c r="J26" s="231"/>
      <c r="K26" s="230">
        <v>153354.75</v>
      </c>
      <c r="L26" s="230">
        <v>153354.75</v>
      </c>
      <c r="M26" s="230">
        <v>0</v>
      </c>
      <c r="N26" s="231"/>
      <c r="O26" s="230">
        <v>60509.25</v>
      </c>
      <c r="P26" s="230">
        <v>60509.25</v>
      </c>
      <c r="Q26" s="230">
        <v>0</v>
      </c>
      <c r="R26" s="231"/>
      <c r="S26" s="230">
        <v>213864</v>
      </c>
      <c r="T26" s="230">
        <v>213864</v>
      </c>
      <c r="U26" s="230">
        <v>0</v>
      </c>
      <c r="V26" s="232"/>
    </row>
    <row r="27" spans="1:22" x14ac:dyDescent="0.2">
      <c r="A27" s="227">
        <v>2019</v>
      </c>
      <c r="B27" s="227" t="s">
        <v>1470</v>
      </c>
      <c r="C27" s="228" t="s">
        <v>45</v>
      </c>
      <c r="D27" s="229"/>
      <c r="E27" s="229"/>
      <c r="F27" s="229" t="s">
        <v>45</v>
      </c>
      <c r="G27" s="228" t="s">
        <v>1165</v>
      </c>
      <c r="H27" s="230">
        <v>2</v>
      </c>
      <c r="I27" s="230">
        <v>7</v>
      </c>
      <c r="J27" s="231"/>
      <c r="K27" s="230">
        <v>123526.5</v>
      </c>
      <c r="L27" s="230">
        <v>27450.33</v>
      </c>
      <c r="M27" s="230">
        <v>96076.17</v>
      </c>
      <c r="N27" s="231"/>
      <c r="O27" s="230">
        <v>44028.5</v>
      </c>
      <c r="P27" s="230">
        <v>9784.11</v>
      </c>
      <c r="Q27" s="230">
        <v>34244.39</v>
      </c>
      <c r="R27" s="231"/>
      <c r="S27" s="230">
        <v>167555</v>
      </c>
      <c r="T27" s="230">
        <v>37234.44</v>
      </c>
      <c r="U27" s="230">
        <v>130320.56</v>
      </c>
      <c r="V27" s="232"/>
    </row>
    <row r="28" spans="1:22" x14ac:dyDescent="0.2">
      <c r="A28" s="227">
        <v>2019</v>
      </c>
      <c r="B28" s="227" t="s">
        <v>1471</v>
      </c>
      <c r="C28" s="228" t="s">
        <v>46</v>
      </c>
      <c r="D28" s="229"/>
      <c r="E28" s="229"/>
      <c r="F28" s="229" t="s">
        <v>46</v>
      </c>
      <c r="G28" s="228" t="s">
        <v>1</v>
      </c>
      <c r="H28" s="230">
        <v>0</v>
      </c>
      <c r="I28" s="230">
        <v>9</v>
      </c>
      <c r="J28" s="231"/>
      <c r="K28" s="230">
        <v>215809.5</v>
      </c>
      <c r="L28" s="230">
        <v>0</v>
      </c>
      <c r="M28" s="230">
        <v>215809.5</v>
      </c>
      <c r="N28" s="231"/>
      <c r="O28" s="230">
        <v>77844.5</v>
      </c>
      <c r="P28" s="230">
        <v>0</v>
      </c>
      <c r="Q28" s="230">
        <v>77844.5</v>
      </c>
      <c r="R28" s="231"/>
      <c r="S28" s="230">
        <v>293654</v>
      </c>
      <c r="T28" s="230">
        <v>0</v>
      </c>
      <c r="U28" s="230">
        <v>293654</v>
      </c>
      <c r="V28" s="232"/>
    </row>
    <row r="29" spans="1:22" x14ac:dyDescent="0.2">
      <c r="A29" s="227">
        <v>2019</v>
      </c>
      <c r="B29" s="227" t="s">
        <v>1472</v>
      </c>
      <c r="C29" s="228" t="s">
        <v>47</v>
      </c>
      <c r="D29" s="229"/>
      <c r="E29" s="229"/>
      <c r="F29" s="229" t="s">
        <v>47</v>
      </c>
      <c r="G29" s="228" t="s">
        <v>1166</v>
      </c>
      <c r="H29" s="230">
        <v>0</v>
      </c>
      <c r="I29" s="230">
        <v>10</v>
      </c>
      <c r="J29" s="231"/>
      <c r="K29" s="230">
        <v>137529</v>
      </c>
      <c r="L29" s="230">
        <v>0</v>
      </c>
      <c r="M29" s="230">
        <v>137529</v>
      </c>
      <c r="N29" s="231"/>
      <c r="O29" s="230">
        <v>52813</v>
      </c>
      <c r="P29" s="230">
        <v>0</v>
      </c>
      <c r="Q29" s="230">
        <v>52813</v>
      </c>
      <c r="R29" s="231"/>
      <c r="S29" s="230">
        <v>190342</v>
      </c>
      <c r="T29" s="230">
        <v>0</v>
      </c>
      <c r="U29" s="230">
        <v>190342</v>
      </c>
      <c r="V29" s="232"/>
    </row>
    <row r="30" spans="1:22" x14ac:dyDescent="0.2">
      <c r="A30" s="227">
        <v>2019</v>
      </c>
      <c r="B30" s="227" t="s">
        <v>1477</v>
      </c>
      <c r="C30" s="228" t="s">
        <v>48</v>
      </c>
      <c r="D30" s="229"/>
      <c r="E30" s="229"/>
      <c r="F30" s="229" t="s">
        <v>48</v>
      </c>
      <c r="G30" s="228" t="s">
        <v>1167</v>
      </c>
      <c r="H30" s="230">
        <v>1</v>
      </c>
      <c r="I30" s="230">
        <v>8</v>
      </c>
      <c r="J30" s="231"/>
      <c r="K30" s="230">
        <v>195408.75</v>
      </c>
      <c r="L30" s="230">
        <v>21712.080000000002</v>
      </c>
      <c r="M30" s="230">
        <v>173696.66999999998</v>
      </c>
      <c r="N30" s="231"/>
      <c r="O30" s="230">
        <v>68602.25</v>
      </c>
      <c r="P30" s="230">
        <v>7622.47</v>
      </c>
      <c r="Q30" s="230">
        <v>60979.78</v>
      </c>
      <c r="R30" s="231"/>
      <c r="S30" s="230">
        <v>264011</v>
      </c>
      <c r="T30" s="230">
        <v>29334.550000000003</v>
      </c>
      <c r="U30" s="230">
        <v>234676.44999999998</v>
      </c>
      <c r="V30" s="232"/>
    </row>
    <row r="31" spans="1:22" x14ac:dyDescent="0.2">
      <c r="A31" s="227">
        <v>2019</v>
      </c>
      <c r="B31" s="227" t="s">
        <v>1480</v>
      </c>
      <c r="C31" s="228" t="s">
        <v>49</v>
      </c>
      <c r="D31" s="229"/>
      <c r="E31" s="229"/>
      <c r="F31" s="229" t="s">
        <v>49</v>
      </c>
      <c r="G31" s="228" t="s">
        <v>1168</v>
      </c>
      <c r="H31" s="230">
        <v>3</v>
      </c>
      <c r="I31" s="230">
        <v>0</v>
      </c>
      <c r="J31" s="231"/>
      <c r="K31" s="230">
        <v>109865.25</v>
      </c>
      <c r="L31" s="230">
        <v>109865.25</v>
      </c>
      <c r="M31" s="230">
        <v>0</v>
      </c>
      <c r="N31" s="231"/>
      <c r="O31" s="230">
        <v>41027.75</v>
      </c>
      <c r="P31" s="230">
        <v>41027.75</v>
      </c>
      <c r="Q31" s="230">
        <v>0</v>
      </c>
      <c r="R31" s="231"/>
      <c r="S31" s="230">
        <v>150893</v>
      </c>
      <c r="T31" s="230">
        <v>150893</v>
      </c>
      <c r="U31" s="230">
        <v>0</v>
      </c>
      <c r="V31" s="232"/>
    </row>
    <row r="32" spans="1:22" x14ac:dyDescent="0.2">
      <c r="A32" s="227">
        <v>2019</v>
      </c>
      <c r="B32" s="227" t="s">
        <v>1471</v>
      </c>
      <c r="C32" s="228" t="s">
        <v>50</v>
      </c>
      <c r="D32" s="229"/>
      <c r="E32" s="229"/>
      <c r="F32" s="229" t="s">
        <v>50</v>
      </c>
      <c r="G32" s="228" t="s">
        <v>1169</v>
      </c>
      <c r="H32" s="230">
        <v>0</v>
      </c>
      <c r="I32" s="230">
        <v>3</v>
      </c>
      <c r="J32" s="231"/>
      <c r="K32" s="230">
        <v>77042.25</v>
      </c>
      <c r="L32" s="230">
        <v>0</v>
      </c>
      <c r="M32" s="230">
        <v>77042.25</v>
      </c>
      <c r="N32" s="231"/>
      <c r="O32" s="230">
        <v>27242.75</v>
      </c>
      <c r="P32" s="230">
        <v>0</v>
      </c>
      <c r="Q32" s="230">
        <v>27242.75</v>
      </c>
      <c r="R32" s="231"/>
      <c r="S32" s="230">
        <v>104285</v>
      </c>
      <c r="T32" s="230">
        <v>0</v>
      </c>
      <c r="U32" s="230">
        <v>104285</v>
      </c>
      <c r="V32" s="232"/>
    </row>
    <row r="33" spans="1:22" x14ac:dyDescent="0.2">
      <c r="A33" s="227">
        <v>2019</v>
      </c>
      <c r="B33" s="227" t="s">
        <v>1480</v>
      </c>
      <c r="C33" s="228" t="s">
        <v>51</v>
      </c>
      <c r="D33" s="229"/>
      <c r="E33" s="229"/>
      <c r="F33" s="229" t="s">
        <v>51</v>
      </c>
      <c r="G33" s="228" t="s">
        <v>1170</v>
      </c>
      <c r="H33" s="230">
        <v>0</v>
      </c>
      <c r="I33" s="230">
        <v>1</v>
      </c>
      <c r="J33" s="231"/>
      <c r="K33" s="230">
        <v>10254.75</v>
      </c>
      <c r="L33" s="230">
        <v>0</v>
      </c>
      <c r="M33" s="230">
        <v>10254.75</v>
      </c>
      <c r="N33" s="231"/>
      <c r="O33" s="230">
        <v>3634.25</v>
      </c>
      <c r="P33" s="230">
        <v>0</v>
      </c>
      <c r="Q33" s="230">
        <v>3634.25</v>
      </c>
      <c r="R33" s="231"/>
      <c r="S33" s="230">
        <v>13889</v>
      </c>
      <c r="T33" s="230">
        <v>0</v>
      </c>
      <c r="U33" s="230">
        <v>13889</v>
      </c>
      <c r="V33" s="232"/>
    </row>
    <row r="34" spans="1:22" x14ac:dyDescent="0.2">
      <c r="A34" s="227">
        <v>2019</v>
      </c>
      <c r="B34" s="227" t="s">
        <v>1477</v>
      </c>
      <c r="C34" s="228" t="s">
        <v>52</v>
      </c>
      <c r="D34" s="229"/>
      <c r="E34" s="229"/>
      <c r="F34" s="229" t="s">
        <v>52</v>
      </c>
      <c r="G34" s="228" t="s">
        <v>1171</v>
      </c>
      <c r="H34" s="230">
        <v>0</v>
      </c>
      <c r="I34" s="230">
        <v>4</v>
      </c>
      <c r="J34" s="231"/>
      <c r="K34" s="230">
        <v>326493.75</v>
      </c>
      <c r="L34" s="230">
        <v>0</v>
      </c>
      <c r="M34" s="230">
        <v>326493.75</v>
      </c>
      <c r="N34" s="231"/>
      <c r="O34" s="230">
        <v>115768.25</v>
      </c>
      <c r="P34" s="230">
        <v>0</v>
      </c>
      <c r="Q34" s="230">
        <v>115768.25</v>
      </c>
      <c r="R34" s="231"/>
      <c r="S34" s="230">
        <v>442262</v>
      </c>
      <c r="T34" s="230">
        <v>0</v>
      </c>
      <c r="U34" s="230">
        <v>442262</v>
      </c>
      <c r="V34" s="232"/>
    </row>
    <row r="35" spans="1:22" x14ac:dyDescent="0.2">
      <c r="A35" s="227">
        <v>2019</v>
      </c>
      <c r="B35" s="227" t="s">
        <v>1480</v>
      </c>
      <c r="C35" s="228" t="s">
        <v>53</v>
      </c>
      <c r="D35" s="229"/>
      <c r="E35" s="229"/>
      <c r="F35" s="229" t="s">
        <v>53</v>
      </c>
      <c r="G35" s="228" t="s">
        <v>1172</v>
      </c>
      <c r="H35" s="230">
        <v>0</v>
      </c>
      <c r="I35" s="230">
        <v>0</v>
      </c>
      <c r="J35" s="231"/>
      <c r="K35" s="230">
        <v>0</v>
      </c>
      <c r="L35" s="230">
        <v>0</v>
      </c>
      <c r="M35" s="230">
        <v>0</v>
      </c>
      <c r="N35" s="231"/>
      <c r="O35" s="230">
        <v>0</v>
      </c>
      <c r="P35" s="230">
        <v>0</v>
      </c>
      <c r="Q35" s="230">
        <v>0</v>
      </c>
      <c r="R35" s="231"/>
      <c r="S35" s="230">
        <v>0</v>
      </c>
      <c r="T35" s="230">
        <v>0</v>
      </c>
      <c r="U35" s="230">
        <v>0</v>
      </c>
      <c r="V35" s="232"/>
    </row>
    <row r="36" spans="1:22" x14ac:dyDescent="0.2">
      <c r="A36" s="227">
        <v>2019</v>
      </c>
      <c r="B36" s="227" t="s">
        <v>1470</v>
      </c>
      <c r="C36" s="228" t="s">
        <v>55</v>
      </c>
      <c r="D36" s="229"/>
      <c r="E36" s="229"/>
      <c r="F36" s="229" t="s">
        <v>55</v>
      </c>
      <c r="G36" s="228" t="s">
        <v>1173</v>
      </c>
      <c r="H36" s="230">
        <v>0</v>
      </c>
      <c r="I36" s="230">
        <v>3</v>
      </c>
      <c r="J36" s="231"/>
      <c r="K36" s="230">
        <v>245589</v>
      </c>
      <c r="L36" s="230">
        <v>0</v>
      </c>
      <c r="M36" s="230">
        <v>245589</v>
      </c>
      <c r="N36" s="231"/>
      <c r="O36" s="230">
        <v>94232</v>
      </c>
      <c r="P36" s="230">
        <v>0</v>
      </c>
      <c r="Q36" s="230">
        <v>94232</v>
      </c>
      <c r="R36" s="231"/>
      <c r="S36" s="230">
        <v>339821</v>
      </c>
      <c r="T36" s="230">
        <v>0</v>
      </c>
      <c r="U36" s="230">
        <v>339821</v>
      </c>
      <c r="V36" s="232"/>
    </row>
    <row r="37" spans="1:22" x14ac:dyDescent="0.2">
      <c r="A37" s="227">
        <v>2019</v>
      </c>
      <c r="B37" s="227" t="s">
        <v>1470</v>
      </c>
      <c r="C37" s="228" t="s">
        <v>56</v>
      </c>
      <c r="D37" s="229"/>
      <c r="E37" s="229"/>
      <c r="F37" s="229" t="s">
        <v>56</v>
      </c>
      <c r="G37" s="228" t="s">
        <v>1174</v>
      </c>
      <c r="H37" s="230">
        <v>0</v>
      </c>
      <c r="I37" s="230">
        <v>6</v>
      </c>
      <c r="J37" s="231"/>
      <c r="K37" s="230">
        <v>630717</v>
      </c>
      <c r="L37" s="230">
        <v>0</v>
      </c>
      <c r="M37" s="230">
        <v>630717</v>
      </c>
      <c r="N37" s="231"/>
      <c r="O37" s="230">
        <v>235074</v>
      </c>
      <c r="P37" s="230">
        <v>0</v>
      </c>
      <c r="Q37" s="230">
        <v>235074</v>
      </c>
      <c r="R37" s="231"/>
      <c r="S37" s="230">
        <v>865791</v>
      </c>
      <c r="T37" s="230">
        <v>0</v>
      </c>
      <c r="U37" s="230">
        <v>865791</v>
      </c>
      <c r="V37" s="232"/>
    </row>
    <row r="38" spans="1:22" x14ac:dyDescent="0.2">
      <c r="A38" s="227">
        <v>2019</v>
      </c>
      <c r="B38" s="227" t="s">
        <v>1474</v>
      </c>
      <c r="C38" s="228" t="s">
        <v>57</v>
      </c>
      <c r="D38" s="229"/>
      <c r="E38" s="229"/>
      <c r="F38" s="229" t="s">
        <v>57</v>
      </c>
      <c r="G38" s="228" t="s">
        <v>1175</v>
      </c>
      <c r="H38" s="230">
        <v>0</v>
      </c>
      <c r="I38" s="230">
        <v>4</v>
      </c>
      <c r="J38" s="231"/>
      <c r="K38" s="230">
        <v>131836.5</v>
      </c>
      <c r="L38" s="230">
        <v>0</v>
      </c>
      <c r="M38" s="230">
        <v>131836.5</v>
      </c>
      <c r="N38" s="231"/>
      <c r="O38" s="230">
        <v>47216.5</v>
      </c>
      <c r="P38" s="230">
        <v>0</v>
      </c>
      <c r="Q38" s="230">
        <v>47216.5</v>
      </c>
      <c r="R38" s="231"/>
      <c r="S38" s="230">
        <v>179053</v>
      </c>
      <c r="T38" s="230">
        <v>0</v>
      </c>
      <c r="U38" s="230">
        <v>179053</v>
      </c>
      <c r="V38" s="232"/>
    </row>
    <row r="39" spans="1:22" x14ac:dyDescent="0.2">
      <c r="A39" s="227">
        <v>2019</v>
      </c>
      <c r="B39" s="227" t="s">
        <v>1472</v>
      </c>
      <c r="C39" s="228" t="s">
        <v>113</v>
      </c>
      <c r="D39" s="229"/>
      <c r="E39" s="229"/>
      <c r="F39" s="229" t="s">
        <v>113</v>
      </c>
      <c r="G39" s="228" t="s">
        <v>1176</v>
      </c>
      <c r="H39" s="230">
        <v>0</v>
      </c>
      <c r="I39" s="230">
        <v>10</v>
      </c>
      <c r="J39" s="231"/>
      <c r="K39" s="230">
        <v>147575.25</v>
      </c>
      <c r="L39" s="230">
        <v>0</v>
      </c>
      <c r="M39" s="230">
        <v>147575.25</v>
      </c>
      <c r="N39" s="231"/>
      <c r="O39" s="230">
        <v>52786.75</v>
      </c>
      <c r="P39" s="230">
        <v>0</v>
      </c>
      <c r="Q39" s="230">
        <v>52786.75</v>
      </c>
      <c r="R39" s="231"/>
      <c r="S39" s="230">
        <v>200362</v>
      </c>
      <c r="T39" s="230">
        <v>0</v>
      </c>
      <c r="U39" s="230">
        <v>200362</v>
      </c>
      <c r="V39" s="232"/>
    </row>
    <row r="40" spans="1:22" x14ac:dyDescent="0.2">
      <c r="A40" s="227">
        <v>2019</v>
      </c>
      <c r="B40" s="227" t="s">
        <v>1471</v>
      </c>
      <c r="C40" s="228" t="s">
        <v>59</v>
      </c>
      <c r="D40" s="229"/>
      <c r="E40" s="229"/>
      <c r="F40" s="229" t="s">
        <v>59</v>
      </c>
      <c r="G40" s="228" t="s">
        <v>1177</v>
      </c>
      <c r="H40" s="230">
        <v>0</v>
      </c>
      <c r="I40" s="230">
        <v>2</v>
      </c>
      <c r="J40" s="231"/>
      <c r="K40" s="230">
        <v>45651.75</v>
      </c>
      <c r="L40" s="230">
        <v>0</v>
      </c>
      <c r="M40" s="230">
        <v>45651.75</v>
      </c>
      <c r="N40" s="231"/>
      <c r="O40" s="230">
        <v>16908.25</v>
      </c>
      <c r="P40" s="230">
        <v>0</v>
      </c>
      <c r="Q40" s="230">
        <v>16908.25</v>
      </c>
      <c r="R40" s="231"/>
      <c r="S40" s="230">
        <v>62560</v>
      </c>
      <c r="T40" s="230">
        <v>0</v>
      </c>
      <c r="U40" s="230">
        <v>62560</v>
      </c>
      <c r="V40" s="232"/>
    </row>
    <row r="41" spans="1:22" x14ac:dyDescent="0.2">
      <c r="A41" s="227">
        <v>2019</v>
      </c>
      <c r="B41" s="227" t="s">
        <v>1476</v>
      </c>
      <c r="C41" s="228" t="s">
        <v>61</v>
      </c>
      <c r="D41" s="229"/>
      <c r="E41" s="229"/>
      <c r="F41" s="229" t="s">
        <v>61</v>
      </c>
      <c r="G41" s="228" t="s">
        <v>1178</v>
      </c>
      <c r="H41" s="230">
        <v>0</v>
      </c>
      <c r="I41" s="230">
        <v>0</v>
      </c>
      <c r="J41" s="231"/>
      <c r="K41" s="230">
        <v>0</v>
      </c>
      <c r="L41" s="230">
        <v>0</v>
      </c>
      <c r="M41" s="230">
        <v>0</v>
      </c>
      <c r="N41" s="231"/>
      <c r="O41" s="230">
        <v>0</v>
      </c>
      <c r="P41" s="230">
        <v>0</v>
      </c>
      <c r="Q41" s="230">
        <v>0</v>
      </c>
      <c r="R41" s="231"/>
      <c r="S41" s="230">
        <v>0</v>
      </c>
      <c r="T41" s="230">
        <v>0</v>
      </c>
      <c r="U41" s="230">
        <v>0</v>
      </c>
      <c r="V41" s="232"/>
    </row>
    <row r="42" spans="1:22" x14ac:dyDescent="0.2">
      <c r="A42" s="227">
        <v>2019</v>
      </c>
      <c r="B42" s="227" t="s">
        <v>1471</v>
      </c>
      <c r="C42" s="228" t="s">
        <v>63</v>
      </c>
      <c r="D42" s="229"/>
      <c r="E42" s="229"/>
      <c r="F42" s="229" t="s">
        <v>63</v>
      </c>
      <c r="G42" s="228" t="s">
        <v>3</v>
      </c>
      <c r="H42" s="230">
        <v>3</v>
      </c>
      <c r="I42" s="230">
        <v>13</v>
      </c>
      <c r="J42" s="231"/>
      <c r="K42" s="230">
        <v>208379.25</v>
      </c>
      <c r="L42" s="230">
        <v>39071.11</v>
      </c>
      <c r="M42" s="230">
        <v>169308.14</v>
      </c>
      <c r="N42" s="231"/>
      <c r="O42" s="230">
        <v>73210.75</v>
      </c>
      <c r="P42" s="230">
        <v>13727.02</v>
      </c>
      <c r="Q42" s="230">
        <v>59483.729999999996</v>
      </c>
      <c r="R42" s="231"/>
      <c r="S42" s="230">
        <v>281590</v>
      </c>
      <c r="T42" s="230">
        <v>52798.130000000005</v>
      </c>
      <c r="U42" s="230">
        <v>228791.87</v>
      </c>
      <c r="V42" s="232"/>
    </row>
    <row r="43" spans="1:22" x14ac:dyDescent="0.2">
      <c r="A43" s="227">
        <v>2019</v>
      </c>
      <c r="B43" s="227" t="s">
        <v>1480</v>
      </c>
      <c r="C43" s="228" t="s">
        <v>64</v>
      </c>
      <c r="D43" s="229"/>
      <c r="E43" s="229"/>
      <c r="F43" s="229" t="s">
        <v>64</v>
      </c>
      <c r="G43" s="228" t="s">
        <v>1179</v>
      </c>
      <c r="H43" s="230">
        <v>0</v>
      </c>
      <c r="I43" s="230">
        <v>6</v>
      </c>
      <c r="J43" s="231"/>
      <c r="K43" s="230">
        <v>94250.25</v>
      </c>
      <c r="L43" s="230">
        <v>0</v>
      </c>
      <c r="M43" s="230">
        <v>94250.25</v>
      </c>
      <c r="N43" s="231"/>
      <c r="O43" s="230">
        <v>36394.75</v>
      </c>
      <c r="P43" s="230">
        <v>0</v>
      </c>
      <c r="Q43" s="230">
        <v>36394.75</v>
      </c>
      <c r="R43" s="231"/>
      <c r="S43" s="230">
        <v>130645</v>
      </c>
      <c r="T43" s="230">
        <v>0</v>
      </c>
      <c r="U43" s="230">
        <v>130645</v>
      </c>
      <c r="V43" s="232"/>
    </row>
    <row r="44" spans="1:22" x14ac:dyDescent="0.2">
      <c r="A44" s="227">
        <v>2019</v>
      </c>
      <c r="B44" s="227" t="s">
        <v>1472</v>
      </c>
      <c r="C44" s="228" t="s">
        <v>62</v>
      </c>
      <c r="D44" s="229"/>
      <c r="E44" s="229"/>
      <c r="F44" s="229" t="s">
        <v>62</v>
      </c>
      <c r="G44" s="228" t="s">
        <v>2</v>
      </c>
      <c r="H44" s="230">
        <v>0</v>
      </c>
      <c r="I44" s="230">
        <v>10</v>
      </c>
      <c r="J44" s="231"/>
      <c r="K44" s="230">
        <v>160630.5</v>
      </c>
      <c r="L44" s="230">
        <v>0</v>
      </c>
      <c r="M44" s="230">
        <v>160630.5</v>
      </c>
      <c r="N44" s="231"/>
      <c r="O44" s="230">
        <v>54826.5</v>
      </c>
      <c r="P44" s="230">
        <v>0</v>
      </c>
      <c r="Q44" s="230">
        <v>54826.5</v>
      </c>
      <c r="R44" s="231"/>
      <c r="S44" s="230">
        <v>215457</v>
      </c>
      <c r="T44" s="230">
        <v>0</v>
      </c>
      <c r="U44" s="230">
        <v>215457</v>
      </c>
      <c r="V44" s="232"/>
    </row>
    <row r="45" spans="1:22" x14ac:dyDescent="0.2">
      <c r="A45" s="227">
        <v>2019</v>
      </c>
      <c r="B45" s="227" t="s">
        <v>1480</v>
      </c>
      <c r="C45" s="228" t="s">
        <v>65</v>
      </c>
      <c r="D45" s="229"/>
      <c r="E45" s="229"/>
      <c r="F45" s="229" t="s">
        <v>65</v>
      </c>
      <c r="G45" s="228" t="s">
        <v>1180</v>
      </c>
      <c r="H45" s="230">
        <v>0</v>
      </c>
      <c r="I45" s="230">
        <v>0</v>
      </c>
      <c r="J45" s="231"/>
      <c r="K45" s="230">
        <v>0</v>
      </c>
      <c r="L45" s="230">
        <v>0</v>
      </c>
      <c r="M45" s="230">
        <v>0</v>
      </c>
      <c r="N45" s="231"/>
      <c r="O45" s="230">
        <v>0</v>
      </c>
      <c r="P45" s="230">
        <v>0</v>
      </c>
      <c r="Q45" s="230">
        <v>0</v>
      </c>
      <c r="R45" s="231"/>
      <c r="S45" s="230">
        <v>0</v>
      </c>
      <c r="T45" s="230">
        <v>0</v>
      </c>
      <c r="U45" s="230">
        <v>0</v>
      </c>
      <c r="V45" s="232"/>
    </row>
    <row r="46" spans="1:22" x14ac:dyDescent="0.2">
      <c r="A46" s="227">
        <v>2019</v>
      </c>
      <c r="B46" s="227" t="s">
        <v>1476</v>
      </c>
      <c r="C46" s="228" t="s">
        <v>66</v>
      </c>
      <c r="D46" s="229"/>
      <c r="E46" s="229"/>
      <c r="F46" s="229" t="s">
        <v>66</v>
      </c>
      <c r="G46" s="228" t="s">
        <v>1181</v>
      </c>
      <c r="H46" s="230">
        <v>0</v>
      </c>
      <c r="I46" s="230">
        <v>10</v>
      </c>
      <c r="J46" s="231"/>
      <c r="K46" s="230">
        <v>184939.5</v>
      </c>
      <c r="L46" s="230">
        <v>0</v>
      </c>
      <c r="M46" s="230">
        <v>184939.5</v>
      </c>
      <c r="N46" s="231"/>
      <c r="O46" s="230">
        <v>69785.5</v>
      </c>
      <c r="P46" s="230">
        <v>0</v>
      </c>
      <c r="Q46" s="230">
        <v>69785.5</v>
      </c>
      <c r="R46" s="231"/>
      <c r="S46" s="230">
        <v>254725</v>
      </c>
      <c r="T46" s="230">
        <v>0</v>
      </c>
      <c r="U46" s="230">
        <v>254725</v>
      </c>
      <c r="V46" s="232"/>
    </row>
    <row r="47" spans="1:22" x14ac:dyDescent="0.2">
      <c r="A47" s="227">
        <v>2019</v>
      </c>
      <c r="B47" s="227" t="s">
        <v>1470</v>
      </c>
      <c r="C47" s="228" t="s">
        <v>67</v>
      </c>
      <c r="D47" s="229"/>
      <c r="E47" s="229"/>
      <c r="F47" s="229" t="s">
        <v>67</v>
      </c>
      <c r="G47" s="228" t="s">
        <v>1182</v>
      </c>
      <c r="H47" s="230">
        <v>0</v>
      </c>
      <c r="I47" s="230">
        <v>0</v>
      </c>
      <c r="J47" s="231"/>
      <c r="K47" s="230">
        <v>0</v>
      </c>
      <c r="L47" s="230">
        <v>0</v>
      </c>
      <c r="M47" s="230">
        <v>0</v>
      </c>
      <c r="N47" s="231"/>
      <c r="O47" s="230">
        <v>0</v>
      </c>
      <c r="P47" s="230">
        <v>0</v>
      </c>
      <c r="Q47" s="230">
        <v>0</v>
      </c>
      <c r="R47" s="231"/>
      <c r="S47" s="230">
        <v>0</v>
      </c>
      <c r="T47" s="230">
        <v>0</v>
      </c>
      <c r="U47" s="230">
        <v>0</v>
      </c>
      <c r="V47" s="232"/>
    </row>
    <row r="48" spans="1:22" x14ac:dyDescent="0.2">
      <c r="A48" s="227">
        <v>2019</v>
      </c>
      <c r="B48" s="227" t="s">
        <v>1470</v>
      </c>
      <c r="C48" s="228" t="s">
        <v>68</v>
      </c>
      <c r="D48" s="229"/>
      <c r="E48" s="229"/>
      <c r="F48" s="229" t="s">
        <v>68</v>
      </c>
      <c r="G48" s="228" t="s">
        <v>1183</v>
      </c>
      <c r="H48" s="230">
        <v>0</v>
      </c>
      <c r="I48" s="230">
        <v>3</v>
      </c>
      <c r="J48" s="231"/>
      <c r="K48" s="230">
        <v>380922.75</v>
      </c>
      <c r="L48" s="230">
        <v>0</v>
      </c>
      <c r="M48" s="230">
        <v>380922.75</v>
      </c>
      <c r="N48" s="231"/>
      <c r="O48" s="230">
        <v>144937.25</v>
      </c>
      <c r="P48" s="230">
        <v>0</v>
      </c>
      <c r="Q48" s="230">
        <v>144937.25</v>
      </c>
      <c r="R48" s="231"/>
      <c r="S48" s="230">
        <v>525860</v>
      </c>
      <c r="T48" s="230">
        <v>0</v>
      </c>
      <c r="U48" s="230">
        <v>525860</v>
      </c>
      <c r="V48" s="232"/>
    </row>
    <row r="49" spans="1:22" x14ac:dyDescent="0.2">
      <c r="A49" s="227">
        <v>2019</v>
      </c>
      <c r="B49" s="227" t="s">
        <v>1471</v>
      </c>
      <c r="C49" s="228" t="s">
        <v>69</v>
      </c>
      <c r="D49" s="229"/>
      <c r="E49" s="229"/>
      <c r="F49" s="229" t="s">
        <v>69</v>
      </c>
      <c r="G49" s="228" t="s">
        <v>1184</v>
      </c>
      <c r="H49" s="230">
        <v>0</v>
      </c>
      <c r="I49" s="230">
        <v>0</v>
      </c>
      <c r="J49" s="231"/>
      <c r="K49" s="230">
        <v>0</v>
      </c>
      <c r="L49" s="230">
        <v>0</v>
      </c>
      <c r="M49" s="230">
        <v>0</v>
      </c>
      <c r="N49" s="231"/>
      <c r="O49" s="230">
        <v>0</v>
      </c>
      <c r="P49" s="230">
        <v>0</v>
      </c>
      <c r="Q49" s="230">
        <v>0</v>
      </c>
      <c r="R49" s="231"/>
      <c r="S49" s="230">
        <v>0</v>
      </c>
      <c r="T49" s="230">
        <v>0</v>
      </c>
      <c r="U49" s="230">
        <v>0</v>
      </c>
      <c r="V49" s="232"/>
    </row>
    <row r="50" spans="1:22" x14ac:dyDescent="0.2">
      <c r="A50" s="227">
        <v>2019</v>
      </c>
      <c r="B50" s="227" t="s">
        <v>1477</v>
      </c>
      <c r="C50" s="228" t="s">
        <v>70</v>
      </c>
      <c r="D50" s="229"/>
      <c r="E50" s="229"/>
      <c r="F50" s="229" t="s">
        <v>70</v>
      </c>
      <c r="G50" s="228" t="s">
        <v>1185</v>
      </c>
      <c r="H50" s="230">
        <v>0</v>
      </c>
      <c r="I50" s="230">
        <v>5</v>
      </c>
      <c r="J50" s="231"/>
      <c r="K50" s="230">
        <v>5565327</v>
      </c>
      <c r="L50" s="230">
        <v>0</v>
      </c>
      <c r="M50" s="230">
        <v>5565327</v>
      </c>
      <c r="N50" s="231"/>
      <c r="O50" s="230">
        <v>2243881</v>
      </c>
      <c r="P50" s="230">
        <v>0</v>
      </c>
      <c r="Q50" s="230">
        <v>2243881</v>
      </c>
      <c r="R50" s="231"/>
      <c r="S50" s="230">
        <v>7809208</v>
      </c>
      <c r="T50" s="230">
        <v>0</v>
      </c>
      <c r="U50" s="230">
        <v>7809208</v>
      </c>
      <c r="V50" s="232"/>
    </row>
    <row r="51" spans="1:22" x14ac:dyDescent="0.2">
      <c r="A51" s="227">
        <v>2019</v>
      </c>
      <c r="B51" s="227" t="s">
        <v>1477</v>
      </c>
      <c r="C51" s="228" t="s">
        <v>71</v>
      </c>
      <c r="D51" s="229"/>
      <c r="E51" s="229"/>
      <c r="F51" s="229" t="s">
        <v>71</v>
      </c>
      <c r="G51" s="228" t="s">
        <v>1186</v>
      </c>
      <c r="H51" s="230">
        <v>0</v>
      </c>
      <c r="I51" s="230">
        <v>6</v>
      </c>
      <c r="J51" s="231"/>
      <c r="K51" s="230">
        <v>348348</v>
      </c>
      <c r="L51" s="230">
        <v>0</v>
      </c>
      <c r="M51" s="230">
        <v>348348</v>
      </c>
      <c r="N51" s="231"/>
      <c r="O51" s="230">
        <v>128069</v>
      </c>
      <c r="P51" s="230">
        <v>0</v>
      </c>
      <c r="Q51" s="230">
        <v>128069</v>
      </c>
      <c r="R51" s="231"/>
      <c r="S51" s="230">
        <v>476417</v>
      </c>
      <c r="T51" s="230">
        <v>0</v>
      </c>
      <c r="U51" s="230">
        <v>476417</v>
      </c>
      <c r="V51" s="232"/>
    </row>
    <row r="52" spans="1:22" x14ac:dyDescent="0.2">
      <c r="A52" s="227">
        <v>2019</v>
      </c>
      <c r="B52" s="227" t="s">
        <v>1476</v>
      </c>
      <c r="C52" s="228" t="s">
        <v>72</v>
      </c>
      <c r="D52" s="229"/>
      <c r="E52" s="229"/>
      <c r="F52" s="229" t="s">
        <v>72</v>
      </c>
      <c r="G52" s="228" t="s">
        <v>1187</v>
      </c>
      <c r="H52" s="230">
        <v>2</v>
      </c>
      <c r="I52" s="230">
        <v>1</v>
      </c>
      <c r="J52" s="231"/>
      <c r="K52" s="230">
        <v>117078</v>
      </c>
      <c r="L52" s="230">
        <v>78052</v>
      </c>
      <c r="M52" s="230">
        <v>39026</v>
      </c>
      <c r="N52" s="231"/>
      <c r="O52" s="230">
        <v>44071</v>
      </c>
      <c r="P52" s="230">
        <v>29380.67</v>
      </c>
      <c r="Q52" s="230">
        <v>14690.330000000002</v>
      </c>
      <c r="R52" s="231"/>
      <c r="S52" s="230">
        <v>161149</v>
      </c>
      <c r="T52" s="230">
        <v>107432.67</v>
      </c>
      <c r="U52" s="230">
        <v>53716.33</v>
      </c>
      <c r="V52" s="232"/>
    </row>
    <row r="53" spans="1:22" x14ac:dyDescent="0.2">
      <c r="A53" s="227">
        <v>2019</v>
      </c>
      <c r="B53" s="227" t="s">
        <v>1477</v>
      </c>
      <c r="C53" s="228" t="s">
        <v>76</v>
      </c>
      <c r="D53" s="229"/>
      <c r="E53" s="229"/>
      <c r="F53" s="229" t="s">
        <v>76</v>
      </c>
      <c r="G53" s="228" t="s">
        <v>1188</v>
      </c>
      <c r="H53" s="230">
        <v>0</v>
      </c>
      <c r="I53" s="230">
        <v>0</v>
      </c>
      <c r="J53" s="231"/>
      <c r="K53" s="230">
        <v>0</v>
      </c>
      <c r="L53" s="230">
        <v>0</v>
      </c>
      <c r="M53" s="230">
        <v>0</v>
      </c>
      <c r="N53" s="231"/>
      <c r="O53" s="230">
        <v>0</v>
      </c>
      <c r="P53" s="230">
        <v>0</v>
      </c>
      <c r="Q53" s="230">
        <v>0</v>
      </c>
      <c r="R53" s="231"/>
      <c r="S53" s="230">
        <v>0</v>
      </c>
      <c r="T53" s="230">
        <v>0</v>
      </c>
      <c r="U53" s="230">
        <v>0</v>
      </c>
      <c r="V53" s="232"/>
    </row>
    <row r="54" spans="1:22" x14ac:dyDescent="0.2">
      <c r="A54" s="227">
        <v>2019</v>
      </c>
      <c r="B54" s="227" t="s">
        <v>1479</v>
      </c>
      <c r="C54" s="228" t="s">
        <v>74</v>
      </c>
      <c r="D54" s="229"/>
      <c r="E54" s="229"/>
      <c r="F54" s="229" t="s">
        <v>74</v>
      </c>
      <c r="G54" s="228" t="s">
        <v>1189</v>
      </c>
      <c r="H54" s="230">
        <v>0</v>
      </c>
      <c r="I54" s="230">
        <v>1</v>
      </c>
      <c r="J54" s="231"/>
      <c r="K54" s="230">
        <v>29909.25</v>
      </c>
      <c r="L54" s="230">
        <v>0</v>
      </c>
      <c r="M54" s="230">
        <v>29909.25</v>
      </c>
      <c r="N54" s="231"/>
      <c r="O54" s="230">
        <v>10631.75</v>
      </c>
      <c r="P54" s="230">
        <v>0</v>
      </c>
      <c r="Q54" s="230">
        <v>10631.75</v>
      </c>
      <c r="R54" s="231"/>
      <c r="S54" s="230">
        <v>40541</v>
      </c>
      <c r="T54" s="230">
        <v>0</v>
      </c>
      <c r="U54" s="230">
        <v>40541</v>
      </c>
      <c r="V54" s="232"/>
    </row>
    <row r="55" spans="1:22" x14ac:dyDescent="0.2">
      <c r="A55" s="227">
        <v>2019</v>
      </c>
      <c r="B55" s="227" t="s">
        <v>1480</v>
      </c>
      <c r="C55" s="228" t="s">
        <v>75</v>
      </c>
      <c r="D55" s="229"/>
      <c r="E55" s="229"/>
      <c r="F55" s="229" t="s">
        <v>75</v>
      </c>
      <c r="G55" s="228" t="s">
        <v>1190</v>
      </c>
      <c r="H55" s="230">
        <v>0</v>
      </c>
      <c r="I55" s="230">
        <v>7</v>
      </c>
      <c r="J55" s="231"/>
      <c r="K55" s="230">
        <v>508432.5</v>
      </c>
      <c r="L55" s="230">
        <v>0</v>
      </c>
      <c r="M55" s="230">
        <v>508432.5</v>
      </c>
      <c r="N55" s="231"/>
      <c r="O55" s="230">
        <v>183663.5</v>
      </c>
      <c r="P55" s="230">
        <v>0</v>
      </c>
      <c r="Q55" s="230">
        <v>183663.5</v>
      </c>
      <c r="R55" s="231"/>
      <c r="S55" s="230">
        <v>692096</v>
      </c>
      <c r="T55" s="230">
        <v>0</v>
      </c>
      <c r="U55" s="230">
        <v>692096</v>
      </c>
      <c r="V55" s="232"/>
    </row>
    <row r="56" spans="1:22" x14ac:dyDescent="0.2">
      <c r="A56" s="227">
        <v>2019</v>
      </c>
      <c r="B56" s="227" t="s">
        <v>1472</v>
      </c>
      <c r="C56" s="228" t="s">
        <v>77</v>
      </c>
      <c r="D56" s="229"/>
      <c r="E56" s="229"/>
      <c r="F56" s="229" t="s">
        <v>77</v>
      </c>
      <c r="G56" s="228" t="s">
        <v>1191</v>
      </c>
      <c r="H56" s="230">
        <v>0</v>
      </c>
      <c r="I56" s="230">
        <v>5</v>
      </c>
      <c r="J56" s="231"/>
      <c r="K56" s="230">
        <v>83782.5</v>
      </c>
      <c r="L56" s="230">
        <v>0</v>
      </c>
      <c r="M56" s="230">
        <v>83782.5</v>
      </c>
      <c r="N56" s="231"/>
      <c r="O56" s="230">
        <v>29365.5</v>
      </c>
      <c r="P56" s="230">
        <v>0</v>
      </c>
      <c r="Q56" s="230">
        <v>29365.5</v>
      </c>
      <c r="R56" s="231"/>
      <c r="S56" s="230">
        <v>113148</v>
      </c>
      <c r="T56" s="230">
        <v>0</v>
      </c>
      <c r="U56" s="230">
        <v>113148</v>
      </c>
      <c r="V56" s="232"/>
    </row>
    <row r="57" spans="1:22" x14ac:dyDescent="0.2">
      <c r="A57" s="227">
        <v>2019</v>
      </c>
      <c r="B57" s="227" t="s">
        <v>1476</v>
      </c>
      <c r="C57" s="228" t="s">
        <v>73</v>
      </c>
      <c r="D57" s="229"/>
      <c r="E57" s="229"/>
      <c r="F57" s="229" t="s">
        <v>73</v>
      </c>
      <c r="G57" s="228" t="s">
        <v>1192</v>
      </c>
      <c r="H57" s="230">
        <v>0</v>
      </c>
      <c r="I57" s="230">
        <v>9</v>
      </c>
      <c r="J57" s="231"/>
      <c r="K57" s="230">
        <v>280776.75</v>
      </c>
      <c r="L57" s="230">
        <v>0</v>
      </c>
      <c r="M57" s="230">
        <v>280776.75</v>
      </c>
      <c r="N57" s="231"/>
      <c r="O57" s="230">
        <v>108471.25</v>
      </c>
      <c r="P57" s="230">
        <v>0</v>
      </c>
      <c r="Q57" s="230">
        <v>108471.25</v>
      </c>
      <c r="R57" s="231"/>
      <c r="S57" s="230">
        <v>389248</v>
      </c>
      <c r="T57" s="230">
        <v>0</v>
      </c>
      <c r="U57" s="230">
        <v>389248</v>
      </c>
      <c r="V57" s="232"/>
    </row>
    <row r="58" spans="1:22" x14ac:dyDescent="0.2">
      <c r="A58" s="227">
        <v>2019</v>
      </c>
      <c r="B58" s="227" t="s">
        <v>1474</v>
      </c>
      <c r="C58" s="228" t="s">
        <v>78</v>
      </c>
      <c r="D58" s="229"/>
      <c r="E58" s="229"/>
      <c r="F58" s="229" t="s">
        <v>78</v>
      </c>
      <c r="G58" s="228" t="s">
        <v>1193</v>
      </c>
      <c r="H58" s="230">
        <v>0</v>
      </c>
      <c r="I58" s="230">
        <v>9</v>
      </c>
      <c r="J58" s="231"/>
      <c r="K58" s="230">
        <v>314925</v>
      </c>
      <c r="L58" s="230">
        <v>0</v>
      </c>
      <c r="M58" s="230">
        <v>314925</v>
      </c>
      <c r="N58" s="231"/>
      <c r="O58" s="230">
        <v>111103</v>
      </c>
      <c r="P58" s="230">
        <v>0</v>
      </c>
      <c r="Q58" s="230">
        <v>111103</v>
      </c>
      <c r="R58" s="231"/>
      <c r="S58" s="230">
        <v>426028</v>
      </c>
      <c r="T58" s="230">
        <v>0</v>
      </c>
      <c r="U58" s="230">
        <v>426028</v>
      </c>
      <c r="V58" s="232"/>
    </row>
    <row r="59" spans="1:22" x14ac:dyDescent="0.2">
      <c r="A59" s="227">
        <v>2019</v>
      </c>
      <c r="B59" s="227" t="s">
        <v>1471</v>
      </c>
      <c r="C59" s="228" t="s">
        <v>230</v>
      </c>
      <c r="D59" s="229"/>
      <c r="E59" s="229"/>
      <c r="F59" s="229" t="s">
        <v>230</v>
      </c>
      <c r="G59" s="228" t="s">
        <v>1194</v>
      </c>
      <c r="H59" s="230">
        <v>0</v>
      </c>
      <c r="I59" s="230">
        <v>7</v>
      </c>
      <c r="J59" s="231"/>
      <c r="K59" s="230">
        <v>225813.75</v>
      </c>
      <c r="L59" s="230">
        <v>0</v>
      </c>
      <c r="M59" s="230">
        <v>225813.75</v>
      </c>
      <c r="N59" s="231"/>
      <c r="O59" s="230">
        <v>88203.25</v>
      </c>
      <c r="P59" s="230">
        <v>0</v>
      </c>
      <c r="Q59" s="230">
        <v>88203.25</v>
      </c>
      <c r="R59" s="231"/>
      <c r="S59" s="230">
        <v>314017</v>
      </c>
      <c r="T59" s="230">
        <v>0</v>
      </c>
      <c r="U59" s="230">
        <v>314017</v>
      </c>
      <c r="V59" s="232"/>
    </row>
    <row r="60" spans="1:22" x14ac:dyDescent="0.2">
      <c r="A60" s="227">
        <v>2019</v>
      </c>
      <c r="B60" s="227" t="s">
        <v>1476</v>
      </c>
      <c r="C60" s="228" t="s">
        <v>79</v>
      </c>
      <c r="D60" s="229"/>
      <c r="E60" s="229"/>
      <c r="F60" s="229" t="s">
        <v>79</v>
      </c>
      <c r="G60" s="228" t="s">
        <v>1195</v>
      </c>
      <c r="H60" s="230">
        <v>3</v>
      </c>
      <c r="I60" s="230">
        <v>3</v>
      </c>
      <c r="J60" s="231"/>
      <c r="K60" s="230">
        <v>278549.25</v>
      </c>
      <c r="L60" s="230">
        <v>139274.63</v>
      </c>
      <c r="M60" s="230">
        <v>139274.62</v>
      </c>
      <c r="N60" s="231"/>
      <c r="O60" s="230">
        <v>103453.75</v>
      </c>
      <c r="P60" s="230">
        <v>51726.879999999997</v>
      </c>
      <c r="Q60" s="230">
        <v>51726.87</v>
      </c>
      <c r="R60" s="231"/>
      <c r="S60" s="230">
        <v>382003</v>
      </c>
      <c r="T60" s="230">
        <v>191001.51</v>
      </c>
      <c r="U60" s="230">
        <v>191001.49</v>
      </c>
      <c r="V60" s="232"/>
    </row>
    <row r="61" spans="1:22" x14ac:dyDescent="0.2">
      <c r="A61" s="227">
        <v>2019</v>
      </c>
      <c r="B61" s="227" t="s">
        <v>1471</v>
      </c>
      <c r="C61" s="228" t="s">
        <v>80</v>
      </c>
      <c r="D61" s="229"/>
      <c r="E61" s="229"/>
      <c r="F61" s="229" t="s">
        <v>80</v>
      </c>
      <c r="G61" s="228" t="s">
        <v>1196</v>
      </c>
      <c r="H61" s="230">
        <v>1</v>
      </c>
      <c r="I61" s="230">
        <v>5</v>
      </c>
      <c r="J61" s="231"/>
      <c r="K61" s="230">
        <v>432026.25</v>
      </c>
      <c r="L61" s="230">
        <v>72004.38</v>
      </c>
      <c r="M61" s="230">
        <v>360021.87</v>
      </c>
      <c r="N61" s="231"/>
      <c r="O61" s="230">
        <v>161451.75</v>
      </c>
      <c r="P61" s="230">
        <v>26908.63</v>
      </c>
      <c r="Q61" s="230">
        <v>134543.12</v>
      </c>
      <c r="R61" s="231"/>
      <c r="S61" s="230">
        <v>593478</v>
      </c>
      <c r="T61" s="230">
        <v>98913.010000000009</v>
      </c>
      <c r="U61" s="230">
        <v>494564.99</v>
      </c>
      <c r="V61" s="232"/>
    </row>
    <row r="62" spans="1:22" x14ac:dyDescent="0.2">
      <c r="A62" s="227">
        <v>2019</v>
      </c>
      <c r="B62" s="227" t="s">
        <v>1474</v>
      </c>
      <c r="C62" s="228" t="s">
        <v>81</v>
      </c>
      <c r="D62" s="229"/>
      <c r="E62" s="229"/>
      <c r="F62" s="229" t="s">
        <v>81</v>
      </c>
      <c r="G62" s="228" t="s">
        <v>1197</v>
      </c>
      <c r="H62" s="230">
        <v>5</v>
      </c>
      <c r="I62" s="230">
        <v>5</v>
      </c>
      <c r="J62" s="231"/>
      <c r="K62" s="230">
        <v>109394.25</v>
      </c>
      <c r="L62" s="230">
        <v>54697.13</v>
      </c>
      <c r="M62" s="230">
        <v>54697.120000000003</v>
      </c>
      <c r="N62" s="231"/>
      <c r="O62" s="230">
        <v>38155.75</v>
      </c>
      <c r="P62" s="230">
        <v>19077.88</v>
      </c>
      <c r="Q62" s="230">
        <v>19077.87</v>
      </c>
      <c r="R62" s="231"/>
      <c r="S62" s="230">
        <v>147550</v>
      </c>
      <c r="T62" s="230">
        <v>73775.009999999995</v>
      </c>
      <c r="U62" s="230">
        <v>73774.990000000005</v>
      </c>
      <c r="V62" s="232"/>
    </row>
    <row r="63" spans="1:22" x14ac:dyDescent="0.2">
      <c r="A63" s="227">
        <v>2019</v>
      </c>
      <c r="B63" s="227" t="s">
        <v>1474</v>
      </c>
      <c r="C63" s="228" t="s">
        <v>82</v>
      </c>
      <c r="D63" s="229"/>
      <c r="E63" s="229"/>
      <c r="F63" s="229" t="s">
        <v>82</v>
      </c>
      <c r="G63" s="228" t="s">
        <v>1198</v>
      </c>
      <c r="H63" s="230">
        <v>0</v>
      </c>
      <c r="I63" s="230">
        <v>5</v>
      </c>
      <c r="J63" s="231"/>
      <c r="K63" s="230">
        <v>221398.5</v>
      </c>
      <c r="L63" s="230">
        <v>0</v>
      </c>
      <c r="M63" s="230">
        <v>221398.5</v>
      </c>
      <c r="N63" s="231"/>
      <c r="O63" s="230">
        <v>77171.5</v>
      </c>
      <c r="P63" s="230">
        <v>0</v>
      </c>
      <c r="Q63" s="230">
        <v>77171.5</v>
      </c>
      <c r="R63" s="231"/>
      <c r="S63" s="230">
        <v>298570</v>
      </c>
      <c r="T63" s="230">
        <v>0</v>
      </c>
      <c r="U63" s="230">
        <v>298570</v>
      </c>
      <c r="V63" s="232"/>
    </row>
    <row r="64" spans="1:22" x14ac:dyDescent="0.2">
      <c r="A64" s="227">
        <v>2019</v>
      </c>
      <c r="B64" s="227" t="s">
        <v>1472</v>
      </c>
      <c r="C64" s="228" t="s">
        <v>83</v>
      </c>
      <c r="D64" s="229"/>
      <c r="E64" s="229"/>
      <c r="F64" s="229" t="s">
        <v>83</v>
      </c>
      <c r="G64" s="228" t="s">
        <v>1199</v>
      </c>
      <c r="H64" s="230">
        <v>0</v>
      </c>
      <c r="I64" s="230">
        <v>8</v>
      </c>
      <c r="J64" s="231"/>
      <c r="K64" s="230">
        <v>286389.75</v>
      </c>
      <c r="L64" s="230">
        <v>0</v>
      </c>
      <c r="M64" s="230">
        <v>286389.75</v>
      </c>
      <c r="N64" s="231"/>
      <c r="O64" s="230">
        <v>120398.25</v>
      </c>
      <c r="P64" s="230">
        <v>0</v>
      </c>
      <c r="Q64" s="230">
        <v>120398.25</v>
      </c>
      <c r="R64" s="231"/>
      <c r="S64" s="230">
        <v>406788</v>
      </c>
      <c r="T64" s="230">
        <v>0</v>
      </c>
      <c r="U64" s="230">
        <v>406788</v>
      </c>
      <c r="V64" s="232"/>
    </row>
    <row r="65" spans="1:22" x14ac:dyDescent="0.2">
      <c r="A65" s="227">
        <v>2019</v>
      </c>
      <c r="B65" s="227" t="s">
        <v>1475</v>
      </c>
      <c r="C65" s="228" t="s">
        <v>84</v>
      </c>
      <c r="D65" s="229" t="s">
        <v>1481</v>
      </c>
      <c r="E65" s="229"/>
      <c r="F65" s="229" t="s">
        <v>84</v>
      </c>
      <c r="G65" s="228" t="s">
        <v>1200</v>
      </c>
      <c r="H65" s="230">
        <v>0</v>
      </c>
      <c r="I65" s="230">
        <v>0</v>
      </c>
      <c r="J65" s="231"/>
      <c r="K65" s="230">
        <v>0</v>
      </c>
      <c r="L65" s="230">
        <v>0</v>
      </c>
      <c r="M65" s="230">
        <v>0</v>
      </c>
      <c r="N65" s="231"/>
      <c r="O65" s="230">
        <v>0</v>
      </c>
      <c r="P65" s="230">
        <v>0</v>
      </c>
      <c r="Q65" s="230">
        <v>0</v>
      </c>
      <c r="R65" s="231"/>
      <c r="S65" s="230">
        <v>0</v>
      </c>
      <c r="T65" s="230">
        <v>0</v>
      </c>
      <c r="U65" s="230">
        <v>0</v>
      </c>
      <c r="V65" s="232"/>
    </row>
    <row r="66" spans="1:22" x14ac:dyDescent="0.2">
      <c r="A66" s="227">
        <v>2019</v>
      </c>
      <c r="B66" s="227" t="s">
        <v>1472</v>
      </c>
      <c r="C66" s="228" t="s">
        <v>85</v>
      </c>
      <c r="D66" s="229"/>
      <c r="E66" s="229"/>
      <c r="F66" s="229" t="s">
        <v>85</v>
      </c>
      <c r="G66" s="228" t="s">
        <v>1201</v>
      </c>
      <c r="H66" s="230">
        <v>5</v>
      </c>
      <c r="I66" s="230">
        <v>0</v>
      </c>
      <c r="J66" s="231"/>
      <c r="K66" s="230">
        <v>216819.75</v>
      </c>
      <c r="L66" s="230">
        <v>216819.75</v>
      </c>
      <c r="M66" s="230">
        <v>0</v>
      </c>
      <c r="N66" s="231"/>
      <c r="O66" s="230">
        <v>73925.25</v>
      </c>
      <c r="P66" s="230">
        <v>73925.25</v>
      </c>
      <c r="Q66" s="230">
        <v>0</v>
      </c>
      <c r="R66" s="231"/>
      <c r="S66" s="230">
        <v>290745</v>
      </c>
      <c r="T66" s="230">
        <v>290745</v>
      </c>
      <c r="U66" s="230">
        <v>0</v>
      </c>
      <c r="V66" s="232"/>
    </row>
    <row r="67" spans="1:22" x14ac:dyDescent="0.2">
      <c r="A67" s="227">
        <v>2019</v>
      </c>
      <c r="B67" s="227" t="s">
        <v>1471</v>
      </c>
      <c r="C67" s="228" t="s">
        <v>86</v>
      </c>
      <c r="D67" s="229"/>
      <c r="E67" s="229"/>
      <c r="F67" s="229" t="s">
        <v>86</v>
      </c>
      <c r="G67" s="228" t="s">
        <v>1202</v>
      </c>
      <c r="H67" s="230">
        <v>3</v>
      </c>
      <c r="I67" s="230">
        <v>7</v>
      </c>
      <c r="J67" s="231"/>
      <c r="K67" s="230">
        <v>120089.25</v>
      </c>
      <c r="L67" s="230">
        <v>36026.78</v>
      </c>
      <c r="M67" s="230">
        <v>84062.47</v>
      </c>
      <c r="N67" s="231"/>
      <c r="O67" s="230">
        <v>43331.75</v>
      </c>
      <c r="P67" s="230">
        <v>12999.53</v>
      </c>
      <c r="Q67" s="230">
        <v>30332.22</v>
      </c>
      <c r="R67" s="231"/>
      <c r="S67" s="230">
        <v>163421</v>
      </c>
      <c r="T67" s="230">
        <v>49026.31</v>
      </c>
      <c r="U67" s="230">
        <v>114394.69</v>
      </c>
      <c r="V67" s="232"/>
    </row>
    <row r="68" spans="1:22" x14ac:dyDescent="0.2">
      <c r="A68" s="227">
        <v>2019</v>
      </c>
      <c r="B68" s="227" t="s">
        <v>1475</v>
      </c>
      <c r="C68" s="228" t="s">
        <v>87</v>
      </c>
      <c r="D68" s="229"/>
      <c r="E68" s="229"/>
      <c r="F68" s="229" t="s">
        <v>87</v>
      </c>
      <c r="G68" s="228" t="s">
        <v>1203</v>
      </c>
      <c r="H68" s="230">
        <v>0</v>
      </c>
      <c r="I68" s="230">
        <v>1</v>
      </c>
      <c r="J68" s="231"/>
      <c r="K68" s="230">
        <v>15766.5</v>
      </c>
      <c r="L68" s="230">
        <v>0</v>
      </c>
      <c r="M68" s="230">
        <v>15766.5</v>
      </c>
      <c r="N68" s="231"/>
      <c r="O68" s="230">
        <v>5677.5</v>
      </c>
      <c r="P68" s="230">
        <v>0</v>
      </c>
      <c r="Q68" s="230">
        <v>5677.5</v>
      </c>
      <c r="R68" s="231"/>
      <c r="S68" s="230">
        <v>21444</v>
      </c>
      <c r="T68" s="230">
        <v>0</v>
      </c>
      <c r="U68" s="230">
        <v>21444</v>
      </c>
      <c r="V68" s="232"/>
    </row>
    <row r="69" spans="1:22" x14ac:dyDescent="0.2">
      <c r="A69" s="227">
        <v>2019</v>
      </c>
      <c r="B69" s="227" t="s">
        <v>1479</v>
      </c>
      <c r="C69" s="228" t="s">
        <v>150</v>
      </c>
      <c r="D69" s="229"/>
      <c r="E69" s="229"/>
      <c r="F69" s="229" t="s">
        <v>150</v>
      </c>
      <c r="G69" s="228" t="s">
        <v>1204</v>
      </c>
      <c r="H69" s="230">
        <v>0</v>
      </c>
      <c r="I69" s="230">
        <v>0</v>
      </c>
      <c r="J69" s="231"/>
      <c r="K69" s="230">
        <v>0</v>
      </c>
      <c r="L69" s="230">
        <v>0</v>
      </c>
      <c r="M69" s="230">
        <v>0</v>
      </c>
      <c r="N69" s="231"/>
      <c r="O69" s="230">
        <v>0</v>
      </c>
      <c r="P69" s="230">
        <v>0</v>
      </c>
      <c r="Q69" s="230">
        <v>0</v>
      </c>
      <c r="R69" s="231"/>
      <c r="S69" s="230">
        <v>0</v>
      </c>
      <c r="T69" s="230">
        <v>0</v>
      </c>
      <c r="U69" s="230">
        <v>0</v>
      </c>
      <c r="V69" s="232"/>
    </row>
    <row r="70" spans="1:22" x14ac:dyDescent="0.2">
      <c r="A70" s="227">
        <v>2019</v>
      </c>
      <c r="B70" s="227" t="s">
        <v>1477</v>
      </c>
      <c r="C70" s="228" t="s">
        <v>88</v>
      </c>
      <c r="D70" s="229" t="s">
        <v>1482</v>
      </c>
      <c r="E70" s="229"/>
      <c r="F70" s="229" t="s">
        <v>88</v>
      </c>
      <c r="G70" s="228" t="s">
        <v>1205</v>
      </c>
      <c r="H70" s="230">
        <v>5</v>
      </c>
      <c r="I70" s="230">
        <v>7</v>
      </c>
      <c r="J70" s="231"/>
      <c r="K70" s="230">
        <v>1466587.5</v>
      </c>
      <c r="L70" s="230">
        <v>611078.13</v>
      </c>
      <c r="M70" s="230">
        <v>855509.37</v>
      </c>
      <c r="N70" s="231"/>
      <c r="O70" s="230">
        <v>532778.5</v>
      </c>
      <c r="P70" s="230">
        <v>221991.04000000001</v>
      </c>
      <c r="Q70" s="230">
        <v>310787.45999999996</v>
      </c>
      <c r="R70" s="231"/>
      <c r="S70" s="230">
        <v>1999366</v>
      </c>
      <c r="T70" s="230">
        <v>833069.17</v>
      </c>
      <c r="U70" s="230">
        <v>1166296.83</v>
      </c>
      <c r="V70" s="232"/>
    </row>
    <row r="71" spans="1:22" x14ac:dyDescent="0.2">
      <c r="A71" s="227">
        <v>2019</v>
      </c>
      <c r="B71" s="227" t="s">
        <v>1471</v>
      </c>
      <c r="C71" s="228" t="s">
        <v>89</v>
      </c>
      <c r="D71" s="229"/>
      <c r="E71" s="229"/>
      <c r="F71" s="229" t="s">
        <v>89</v>
      </c>
      <c r="G71" s="228" t="s">
        <v>1206</v>
      </c>
      <c r="H71" s="230">
        <v>0</v>
      </c>
      <c r="I71" s="230">
        <v>5</v>
      </c>
      <c r="J71" s="231"/>
      <c r="K71" s="230">
        <v>395784.75</v>
      </c>
      <c r="L71" s="230">
        <v>0</v>
      </c>
      <c r="M71" s="230">
        <v>395784.75</v>
      </c>
      <c r="N71" s="231"/>
      <c r="O71" s="230">
        <v>161689.25</v>
      </c>
      <c r="P71" s="230">
        <v>0</v>
      </c>
      <c r="Q71" s="230">
        <v>161689.25</v>
      </c>
      <c r="R71" s="231"/>
      <c r="S71" s="230">
        <v>557474</v>
      </c>
      <c r="T71" s="230">
        <v>0</v>
      </c>
      <c r="U71" s="230">
        <v>557474</v>
      </c>
      <c r="V71" s="232"/>
    </row>
    <row r="72" spans="1:22" x14ac:dyDescent="0.2">
      <c r="A72" s="227">
        <v>2019</v>
      </c>
      <c r="B72" s="227" t="s">
        <v>1480</v>
      </c>
      <c r="C72" s="228" t="s">
        <v>90</v>
      </c>
      <c r="D72" s="229"/>
      <c r="E72" s="229"/>
      <c r="F72" s="229" t="s">
        <v>90</v>
      </c>
      <c r="G72" s="228" t="s">
        <v>1207</v>
      </c>
      <c r="H72" s="230">
        <v>0</v>
      </c>
      <c r="I72" s="230">
        <v>8</v>
      </c>
      <c r="J72" s="231"/>
      <c r="K72" s="230">
        <v>1066899</v>
      </c>
      <c r="L72" s="230">
        <v>0</v>
      </c>
      <c r="M72" s="230">
        <v>1066899</v>
      </c>
      <c r="N72" s="231"/>
      <c r="O72" s="230">
        <v>440471</v>
      </c>
      <c r="P72" s="230">
        <v>0</v>
      </c>
      <c r="Q72" s="230">
        <v>440471</v>
      </c>
      <c r="R72" s="231"/>
      <c r="S72" s="230">
        <v>1507370</v>
      </c>
      <c r="T72" s="230">
        <v>0</v>
      </c>
      <c r="U72" s="230">
        <v>1507370</v>
      </c>
      <c r="V72" s="232"/>
    </row>
    <row r="73" spans="1:22" x14ac:dyDescent="0.2">
      <c r="A73" s="227">
        <v>2019</v>
      </c>
      <c r="B73" s="227" t="s">
        <v>1470</v>
      </c>
      <c r="C73" s="228" t="s">
        <v>91</v>
      </c>
      <c r="D73" s="229"/>
      <c r="E73" s="229"/>
      <c r="F73" s="229" t="s">
        <v>91</v>
      </c>
      <c r="G73" s="228" t="s">
        <v>1208</v>
      </c>
      <c r="H73" s="230">
        <v>0</v>
      </c>
      <c r="I73" s="230">
        <v>8</v>
      </c>
      <c r="J73" s="231"/>
      <c r="K73" s="230">
        <v>237621</v>
      </c>
      <c r="L73" s="230">
        <v>0</v>
      </c>
      <c r="M73" s="230">
        <v>237621</v>
      </c>
      <c r="N73" s="231"/>
      <c r="O73" s="230">
        <v>90338</v>
      </c>
      <c r="P73" s="230">
        <v>0</v>
      </c>
      <c r="Q73" s="230">
        <v>90338</v>
      </c>
      <c r="R73" s="231"/>
      <c r="S73" s="230">
        <v>327959</v>
      </c>
      <c r="T73" s="230">
        <v>0</v>
      </c>
      <c r="U73" s="230">
        <v>327959</v>
      </c>
      <c r="V73" s="232"/>
    </row>
    <row r="74" spans="1:22" x14ac:dyDescent="0.2">
      <c r="A74" s="227">
        <v>2019</v>
      </c>
      <c r="B74" s="227" t="s">
        <v>1477</v>
      </c>
      <c r="C74" s="228" t="s">
        <v>92</v>
      </c>
      <c r="D74" s="229"/>
      <c r="E74" s="229"/>
      <c r="F74" s="229" t="s">
        <v>92</v>
      </c>
      <c r="G74" s="228" t="s">
        <v>1209</v>
      </c>
      <c r="H74" s="230">
        <v>0</v>
      </c>
      <c r="I74" s="230">
        <v>0</v>
      </c>
      <c r="J74" s="231"/>
      <c r="K74" s="230">
        <v>0</v>
      </c>
      <c r="L74" s="230">
        <v>0</v>
      </c>
      <c r="M74" s="230">
        <v>0</v>
      </c>
      <c r="N74" s="231"/>
      <c r="O74" s="230">
        <v>0</v>
      </c>
      <c r="P74" s="230">
        <v>0</v>
      </c>
      <c r="Q74" s="230">
        <v>0</v>
      </c>
      <c r="R74" s="231"/>
      <c r="S74" s="230">
        <v>0</v>
      </c>
      <c r="T74" s="230">
        <v>0</v>
      </c>
      <c r="U74" s="230">
        <v>0</v>
      </c>
      <c r="V74" s="232"/>
    </row>
    <row r="75" spans="1:22" x14ac:dyDescent="0.2">
      <c r="A75" s="227">
        <v>2019</v>
      </c>
      <c r="B75" s="227" t="s">
        <v>1470</v>
      </c>
      <c r="C75" s="228" t="s">
        <v>93</v>
      </c>
      <c r="D75" s="229"/>
      <c r="E75" s="229"/>
      <c r="F75" s="229" t="s">
        <v>93</v>
      </c>
      <c r="G75" s="228" t="s">
        <v>1210</v>
      </c>
      <c r="H75" s="230">
        <v>0</v>
      </c>
      <c r="I75" s="230">
        <v>0</v>
      </c>
      <c r="J75" s="231"/>
      <c r="K75" s="230">
        <v>0</v>
      </c>
      <c r="L75" s="230">
        <v>0</v>
      </c>
      <c r="M75" s="230">
        <v>0</v>
      </c>
      <c r="N75" s="231"/>
      <c r="O75" s="230">
        <v>0</v>
      </c>
      <c r="P75" s="230">
        <v>0</v>
      </c>
      <c r="Q75" s="230">
        <v>0</v>
      </c>
      <c r="R75" s="231"/>
      <c r="S75" s="230">
        <v>0</v>
      </c>
      <c r="T75" s="230">
        <v>0</v>
      </c>
      <c r="U75" s="230">
        <v>0</v>
      </c>
      <c r="V75" s="232"/>
    </row>
    <row r="76" spans="1:22" x14ac:dyDescent="0.2">
      <c r="A76" s="227">
        <v>2019</v>
      </c>
      <c r="B76" s="227" t="s">
        <v>1470</v>
      </c>
      <c r="C76" s="228" t="s">
        <v>94</v>
      </c>
      <c r="D76" s="229"/>
      <c r="E76" s="229"/>
      <c r="F76" s="229" t="s">
        <v>94</v>
      </c>
      <c r="G76" s="228" t="s">
        <v>1211</v>
      </c>
      <c r="H76" s="230">
        <v>0</v>
      </c>
      <c r="I76" s="230">
        <v>0</v>
      </c>
      <c r="J76" s="231"/>
      <c r="K76" s="230">
        <v>0</v>
      </c>
      <c r="L76" s="230">
        <v>0</v>
      </c>
      <c r="M76" s="230">
        <v>0</v>
      </c>
      <c r="N76" s="231"/>
      <c r="O76" s="230">
        <v>0</v>
      </c>
      <c r="P76" s="230">
        <v>0</v>
      </c>
      <c r="Q76" s="230">
        <v>0</v>
      </c>
      <c r="R76" s="231"/>
      <c r="S76" s="230">
        <v>0</v>
      </c>
      <c r="T76" s="230">
        <v>0</v>
      </c>
      <c r="U76" s="230">
        <v>0</v>
      </c>
      <c r="V76" s="232"/>
    </row>
    <row r="77" spans="1:22" x14ac:dyDescent="0.2">
      <c r="A77" s="227">
        <v>2019</v>
      </c>
      <c r="B77" s="227" t="s">
        <v>1480</v>
      </c>
      <c r="C77" s="228" t="s">
        <v>95</v>
      </c>
      <c r="D77" s="229"/>
      <c r="E77" s="229"/>
      <c r="F77" s="229" t="s">
        <v>95</v>
      </c>
      <c r="G77" s="228" t="s">
        <v>1212</v>
      </c>
      <c r="H77" s="230">
        <v>0</v>
      </c>
      <c r="I77" s="230">
        <v>10</v>
      </c>
      <c r="J77" s="231"/>
      <c r="K77" s="230">
        <v>255528</v>
      </c>
      <c r="L77" s="230">
        <v>0</v>
      </c>
      <c r="M77" s="230">
        <v>255528</v>
      </c>
      <c r="N77" s="231"/>
      <c r="O77" s="230">
        <v>86155</v>
      </c>
      <c r="P77" s="230">
        <v>0</v>
      </c>
      <c r="Q77" s="230">
        <v>86155</v>
      </c>
      <c r="R77" s="231"/>
      <c r="S77" s="230">
        <v>341683</v>
      </c>
      <c r="T77" s="230">
        <v>0</v>
      </c>
      <c r="U77" s="230">
        <v>341683</v>
      </c>
      <c r="V77" s="232"/>
    </row>
    <row r="78" spans="1:22" x14ac:dyDescent="0.2">
      <c r="A78" s="227">
        <v>2019</v>
      </c>
      <c r="B78" s="227" t="s">
        <v>1470</v>
      </c>
      <c r="C78" s="228" t="s">
        <v>96</v>
      </c>
      <c r="D78" s="229"/>
      <c r="E78" s="229"/>
      <c r="F78" s="229" t="s">
        <v>96</v>
      </c>
      <c r="G78" s="228" t="s">
        <v>1213</v>
      </c>
      <c r="H78" s="230">
        <v>0</v>
      </c>
      <c r="I78" s="230">
        <v>7</v>
      </c>
      <c r="J78" s="231"/>
      <c r="K78" s="230">
        <v>103154.25</v>
      </c>
      <c r="L78" s="230">
        <v>0</v>
      </c>
      <c r="M78" s="230">
        <v>103154.25</v>
      </c>
      <c r="N78" s="231"/>
      <c r="O78" s="230">
        <v>36578.75</v>
      </c>
      <c r="P78" s="230">
        <v>0</v>
      </c>
      <c r="Q78" s="230">
        <v>36578.75</v>
      </c>
      <c r="R78" s="231"/>
      <c r="S78" s="230">
        <v>139733</v>
      </c>
      <c r="T78" s="230">
        <v>0</v>
      </c>
      <c r="U78" s="230">
        <v>139733</v>
      </c>
      <c r="V78" s="232"/>
    </row>
    <row r="79" spans="1:22" x14ac:dyDescent="0.2">
      <c r="A79" s="227">
        <v>2019</v>
      </c>
      <c r="B79" s="227" t="s">
        <v>1472</v>
      </c>
      <c r="C79" s="228" t="s">
        <v>97</v>
      </c>
      <c r="D79" s="229"/>
      <c r="E79" s="229"/>
      <c r="F79" s="229" t="s">
        <v>97</v>
      </c>
      <c r="G79" s="228" t="s">
        <v>1214</v>
      </c>
      <c r="H79" s="230">
        <v>0</v>
      </c>
      <c r="I79" s="230">
        <v>7</v>
      </c>
      <c r="J79" s="231"/>
      <c r="K79" s="230">
        <v>118528.5</v>
      </c>
      <c r="L79" s="230">
        <v>0</v>
      </c>
      <c r="M79" s="230">
        <v>118528.5</v>
      </c>
      <c r="N79" s="231"/>
      <c r="O79" s="230">
        <v>42062.5</v>
      </c>
      <c r="P79" s="230">
        <v>0</v>
      </c>
      <c r="Q79" s="230">
        <v>42062.5</v>
      </c>
      <c r="R79" s="231"/>
      <c r="S79" s="230">
        <v>160591</v>
      </c>
      <c r="T79" s="230">
        <v>0</v>
      </c>
      <c r="U79" s="230">
        <v>160591</v>
      </c>
      <c r="V79" s="232"/>
    </row>
    <row r="80" spans="1:22" x14ac:dyDescent="0.2">
      <c r="A80" s="227">
        <v>2019</v>
      </c>
      <c r="B80" s="227" t="s">
        <v>1472</v>
      </c>
      <c r="C80" s="228" t="s">
        <v>98</v>
      </c>
      <c r="D80" s="229"/>
      <c r="E80" s="229"/>
      <c r="F80" s="229" t="s">
        <v>98</v>
      </c>
      <c r="G80" s="228" t="s">
        <v>1215</v>
      </c>
      <c r="H80" s="230">
        <v>0</v>
      </c>
      <c r="I80" s="230">
        <v>0</v>
      </c>
      <c r="J80" s="231"/>
      <c r="K80" s="230">
        <v>0</v>
      </c>
      <c r="L80" s="230">
        <v>0</v>
      </c>
      <c r="M80" s="230">
        <v>0</v>
      </c>
      <c r="N80" s="231"/>
      <c r="O80" s="230">
        <v>0</v>
      </c>
      <c r="P80" s="230">
        <v>0</v>
      </c>
      <c r="Q80" s="230">
        <v>0</v>
      </c>
      <c r="R80" s="231"/>
      <c r="S80" s="230">
        <v>0</v>
      </c>
      <c r="T80" s="230">
        <v>0</v>
      </c>
      <c r="U80" s="230">
        <v>0</v>
      </c>
      <c r="V80" s="232"/>
    </row>
    <row r="81" spans="1:22" x14ac:dyDescent="0.2">
      <c r="A81" s="227">
        <v>2019</v>
      </c>
      <c r="B81" s="227" t="s">
        <v>1472</v>
      </c>
      <c r="C81" s="228" t="s">
        <v>99</v>
      </c>
      <c r="D81" s="229" t="s">
        <v>1483</v>
      </c>
      <c r="E81" s="229"/>
      <c r="F81" s="229" t="s">
        <v>99</v>
      </c>
      <c r="G81" s="228" t="s">
        <v>1216</v>
      </c>
      <c r="H81" s="230">
        <v>2</v>
      </c>
      <c r="I81" s="230">
        <v>4</v>
      </c>
      <c r="J81" s="231"/>
      <c r="K81" s="230">
        <v>337341</v>
      </c>
      <c r="L81" s="230">
        <v>112447</v>
      </c>
      <c r="M81" s="230">
        <v>224894</v>
      </c>
      <c r="N81" s="231"/>
      <c r="O81" s="230">
        <v>124202</v>
      </c>
      <c r="P81" s="230">
        <v>41400.67</v>
      </c>
      <c r="Q81" s="230">
        <v>82801.33</v>
      </c>
      <c r="R81" s="231"/>
      <c r="S81" s="230">
        <v>461543</v>
      </c>
      <c r="T81" s="230">
        <v>153847.66999999998</v>
      </c>
      <c r="U81" s="230">
        <v>307695.33</v>
      </c>
      <c r="V81" s="232"/>
    </row>
    <row r="82" spans="1:22" x14ac:dyDescent="0.2">
      <c r="A82" s="227">
        <v>2019</v>
      </c>
      <c r="B82" s="227" t="s">
        <v>1470</v>
      </c>
      <c r="C82" s="228" t="s">
        <v>100</v>
      </c>
      <c r="D82" s="229"/>
      <c r="E82" s="229"/>
      <c r="F82" s="229" t="s">
        <v>100</v>
      </c>
      <c r="G82" s="228" t="s">
        <v>1217</v>
      </c>
      <c r="H82" s="230">
        <v>0</v>
      </c>
      <c r="I82" s="230">
        <v>0</v>
      </c>
      <c r="J82" s="231"/>
      <c r="K82" s="230">
        <v>0</v>
      </c>
      <c r="L82" s="230">
        <v>0</v>
      </c>
      <c r="M82" s="230">
        <v>0</v>
      </c>
      <c r="N82" s="231"/>
      <c r="O82" s="230">
        <v>0</v>
      </c>
      <c r="P82" s="230">
        <v>0</v>
      </c>
      <c r="Q82" s="230">
        <v>0</v>
      </c>
      <c r="R82" s="231"/>
      <c r="S82" s="230">
        <v>0</v>
      </c>
      <c r="T82" s="230">
        <v>0</v>
      </c>
      <c r="U82" s="230">
        <v>0</v>
      </c>
      <c r="V82" s="232"/>
    </row>
    <row r="83" spans="1:22" x14ac:dyDescent="0.2">
      <c r="A83" s="227">
        <v>2019</v>
      </c>
      <c r="B83" s="227" t="s">
        <v>1476</v>
      </c>
      <c r="C83" s="228" t="s">
        <v>101</v>
      </c>
      <c r="D83" s="229"/>
      <c r="E83" s="229"/>
      <c r="F83" s="229" t="s">
        <v>101</v>
      </c>
      <c r="G83" s="228" t="s">
        <v>1218</v>
      </c>
      <c r="H83" s="230">
        <v>0</v>
      </c>
      <c r="I83" s="230">
        <v>2</v>
      </c>
      <c r="J83" s="231"/>
      <c r="K83" s="230">
        <v>41006.25</v>
      </c>
      <c r="L83" s="230">
        <v>0</v>
      </c>
      <c r="M83" s="230">
        <v>41006.25</v>
      </c>
      <c r="N83" s="231"/>
      <c r="O83" s="230">
        <v>14175.75</v>
      </c>
      <c r="P83" s="230">
        <v>0</v>
      </c>
      <c r="Q83" s="230">
        <v>14175.75</v>
      </c>
      <c r="R83" s="231"/>
      <c r="S83" s="230">
        <v>55182</v>
      </c>
      <c r="T83" s="230">
        <v>0</v>
      </c>
      <c r="U83" s="230">
        <v>55182</v>
      </c>
      <c r="V83" s="232"/>
    </row>
    <row r="84" spans="1:22" x14ac:dyDescent="0.2">
      <c r="A84" s="227">
        <v>2019</v>
      </c>
      <c r="B84" s="227" t="s">
        <v>1480</v>
      </c>
      <c r="C84" s="228" t="s">
        <v>102</v>
      </c>
      <c r="D84" s="229"/>
      <c r="E84" s="229"/>
      <c r="F84" s="229" t="s">
        <v>102</v>
      </c>
      <c r="G84" s="228" t="s">
        <v>1219</v>
      </c>
      <c r="H84" s="230">
        <v>0</v>
      </c>
      <c r="I84" s="230">
        <v>0</v>
      </c>
      <c r="J84" s="231"/>
      <c r="K84" s="230">
        <v>0</v>
      </c>
      <c r="L84" s="230">
        <v>0</v>
      </c>
      <c r="M84" s="230">
        <v>0</v>
      </c>
      <c r="N84" s="231"/>
      <c r="O84" s="230">
        <v>0</v>
      </c>
      <c r="P84" s="230">
        <v>0</v>
      </c>
      <c r="Q84" s="230">
        <v>0</v>
      </c>
      <c r="R84" s="231"/>
      <c r="S84" s="230">
        <v>0</v>
      </c>
      <c r="T84" s="230">
        <v>0</v>
      </c>
      <c r="U84" s="230">
        <v>0</v>
      </c>
      <c r="V84" s="232"/>
    </row>
    <row r="85" spans="1:22" x14ac:dyDescent="0.2">
      <c r="A85" s="227">
        <v>2019</v>
      </c>
      <c r="B85" s="227" t="s">
        <v>1476</v>
      </c>
      <c r="C85" s="228" t="s">
        <v>103</v>
      </c>
      <c r="D85" s="229"/>
      <c r="E85" s="229"/>
      <c r="F85" s="229" t="s">
        <v>103</v>
      </c>
      <c r="G85" s="228" t="s">
        <v>1220</v>
      </c>
      <c r="H85" s="230">
        <v>0</v>
      </c>
      <c r="I85" s="230">
        <v>1</v>
      </c>
      <c r="J85" s="231"/>
      <c r="K85" s="230">
        <v>46539</v>
      </c>
      <c r="L85" s="230">
        <v>0</v>
      </c>
      <c r="M85" s="230">
        <v>46539</v>
      </c>
      <c r="N85" s="231"/>
      <c r="O85" s="230">
        <v>16790</v>
      </c>
      <c r="P85" s="230">
        <v>0</v>
      </c>
      <c r="Q85" s="230">
        <v>16790</v>
      </c>
      <c r="R85" s="231"/>
      <c r="S85" s="230">
        <v>63329</v>
      </c>
      <c r="T85" s="230">
        <v>0</v>
      </c>
      <c r="U85" s="230">
        <v>63329</v>
      </c>
      <c r="V85" s="232"/>
    </row>
    <row r="86" spans="1:22" x14ac:dyDescent="0.2">
      <c r="A86" s="227">
        <v>2019</v>
      </c>
      <c r="B86" s="227" t="s">
        <v>1479</v>
      </c>
      <c r="C86" s="228" t="s">
        <v>104</v>
      </c>
      <c r="D86" s="229"/>
      <c r="E86" s="229"/>
      <c r="F86" s="229" t="s">
        <v>104</v>
      </c>
      <c r="G86" s="228" t="s">
        <v>1221</v>
      </c>
      <c r="H86" s="230">
        <v>0</v>
      </c>
      <c r="I86" s="230">
        <v>7</v>
      </c>
      <c r="J86" s="231"/>
      <c r="K86" s="230">
        <v>574987.5</v>
      </c>
      <c r="L86" s="230">
        <v>0</v>
      </c>
      <c r="M86" s="230">
        <v>574987.5</v>
      </c>
      <c r="N86" s="231"/>
      <c r="O86" s="230">
        <v>208927.5</v>
      </c>
      <c r="P86" s="230">
        <v>0</v>
      </c>
      <c r="Q86" s="230">
        <v>208927.5</v>
      </c>
      <c r="R86" s="231"/>
      <c r="S86" s="230">
        <v>783915</v>
      </c>
      <c r="T86" s="230">
        <v>0</v>
      </c>
      <c r="U86" s="230">
        <v>783915</v>
      </c>
      <c r="V86" s="232"/>
    </row>
    <row r="87" spans="1:22" x14ac:dyDescent="0.2">
      <c r="A87" s="227">
        <v>2019</v>
      </c>
      <c r="B87" s="227" t="s">
        <v>1480</v>
      </c>
      <c r="C87" s="228" t="s">
        <v>105</v>
      </c>
      <c r="D87" s="229"/>
      <c r="E87" s="229"/>
      <c r="F87" s="229" t="s">
        <v>105</v>
      </c>
      <c r="G87" s="228" t="s">
        <v>1222</v>
      </c>
      <c r="H87" s="230">
        <v>0</v>
      </c>
      <c r="I87" s="230">
        <v>9</v>
      </c>
      <c r="J87" s="231"/>
      <c r="K87" s="230">
        <v>67788</v>
      </c>
      <c r="L87" s="230">
        <v>0</v>
      </c>
      <c r="M87" s="230">
        <v>67788</v>
      </c>
      <c r="N87" s="231"/>
      <c r="O87" s="230">
        <v>22914</v>
      </c>
      <c r="P87" s="230">
        <v>0</v>
      </c>
      <c r="Q87" s="230">
        <v>22914</v>
      </c>
      <c r="R87" s="231"/>
      <c r="S87" s="230">
        <v>90702</v>
      </c>
      <c r="T87" s="230">
        <v>0</v>
      </c>
      <c r="U87" s="230">
        <v>90702</v>
      </c>
      <c r="V87" s="232"/>
    </row>
    <row r="88" spans="1:22" x14ac:dyDescent="0.2">
      <c r="A88" s="227">
        <v>2019</v>
      </c>
      <c r="B88" s="227" t="s">
        <v>1474</v>
      </c>
      <c r="C88" s="228" t="s">
        <v>106</v>
      </c>
      <c r="D88" s="229"/>
      <c r="E88" s="229"/>
      <c r="F88" s="229" t="s">
        <v>106</v>
      </c>
      <c r="G88" s="228" t="s">
        <v>1223</v>
      </c>
      <c r="H88" s="230">
        <v>0</v>
      </c>
      <c r="I88" s="230">
        <v>8</v>
      </c>
      <c r="J88" s="231"/>
      <c r="K88" s="230">
        <v>550338.75</v>
      </c>
      <c r="L88" s="230">
        <v>0</v>
      </c>
      <c r="M88" s="230">
        <v>550338.75</v>
      </c>
      <c r="N88" s="231"/>
      <c r="O88" s="230">
        <v>198187.25</v>
      </c>
      <c r="P88" s="230">
        <v>0</v>
      </c>
      <c r="Q88" s="230">
        <v>198187.25</v>
      </c>
      <c r="R88" s="231"/>
      <c r="S88" s="230">
        <v>748526</v>
      </c>
      <c r="T88" s="230">
        <v>0</v>
      </c>
      <c r="U88" s="230">
        <v>748526</v>
      </c>
      <c r="V88" s="232"/>
    </row>
    <row r="89" spans="1:22" x14ac:dyDescent="0.2">
      <c r="A89" s="227">
        <v>2019</v>
      </c>
      <c r="B89" s="227" t="s">
        <v>1471</v>
      </c>
      <c r="C89" s="228" t="s">
        <v>107</v>
      </c>
      <c r="D89" s="229"/>
      <c r="E89" s="229"/>
      <c r="F89" s="229" t="s">
        <v>107</v>
      </c>
      <c r="G89" s="228" t="s">
        <v>1224</v>
      </c>
      <c r="H89" s="230">
        <v>0</v>
      </c>
      <c r="I89" s="230">
        <v>4</v>
      </c>
      <c r="J89" s="231"/>
      <c r="K89" s="230">
        <v>157051.5</v>
      </c>
      <c r="L89" s="230">
        <v>0</v>
      </c>
      <c r="M89" s="230">
        <v>157051.5</v>
      </c>
      <c r="N89" s="231"/>
      <c r="O89" s="230">
        <v>58448.5</v>
      </c>
      <c r="P89" s="230">
        <v>0</v>
      </c>
      <c r="Q89" s="230">
        <v>58448.5</v>
      </c>
      <c r="R89" s="231"/>
      <c r="S89" s="230">
        <v>215500</v>
      </c>
      <c r="T89" s="230">
        <v>0</v>
      </c>
      <c r="U89" s="230">
        <v>215500</v>
      </c>
      <c r="V89" s="232"/>
    </row>
    <row r="90" spans="1:22" x14ac:dyDescent="0.2">
      <c r="A90" s="227">
        <v>2019</v>
      </c>
      <c r="B90" s="227" t="s">
        <v>1470</v>
      </c>
      <c r="C90" s="228" t="s">
        <v>108</v>
      </c>
      <c r="D90" s="229"/>
      <c r="E90" s="229"/>
      <c r="F90" s="229" t="s">
        <v>108</v>
      </c>
      <c r="G90" s="228" t="s">
        <v>1225</v>
      </c>
      <c r="H90" s="230">
        <v>0</v>
      </c>
      <c r="I90" s="230">
        <v>0</v>
      </c>
      <c r="J90" s="231"/>
      <c r="K90" s="230">
        <v>0</v>
      </c>
      <c r="L90" s="230">
        <v>0</v>
      </c>
      <c r="M90" s="230">
        <v>0</v>
      </c>
      <c r="N90" s="231"/>
      <c r="O90" s="230">
        <v>0</v>
      </c>
      <c r="P90" s="230">
        <v>0</v>
      </c>
      <c r="Q90" s="230">
        <v>0</v>
      </c>
      <c r="R90" s="231"/>
      <c r="S90" s="230">
        <v>0</v>
      </c>
      <c r="T90" s="230">
        <v>0</v>
      </c>
      <c r="U90" s="230">
        <v>0</v>
      </c>
      <c r="V90" s="232"/>
    </row>
    <row r="91" spans="1:22" x14ac:dyDescent="0.2">
      <c r="A91" s="227">
        <v>2019</v>
      </c>
      <c r="B91" s="227" t="s">
        <v>1472</v>
      </c>
      <c r="C91" s="228" t="s">
        <v>109</v>
      </c>
      <c r="D91" s="229"/>
      <c r="E91" s="229"/>
      <c r="F91" s="229" t="s">
        <v>109</v>
      </c>
      <c r="G91" s="228" t="s">
        <v>1226</v>
      </c>
      <c r="H91" s="230">
        <v>0</v>
      </c>
      <c r="I91" s="230">
        <v>5</v>
      </c>
      <c r="J91" s="231"/>
      <c r="K91" s="230">
        <v>13637.25</v>
      </c>
      <c r="L91" s="230">
        <v>0</v>
      </c>
      <c r="M91" s="230">
        <v>13637.25</v>
      </c>
      <c r="N91" s="231"/>
      <c r="O91" s="230">
        <v>6088.75</v>
      </c>
      <c r="P91" s="230">
        <v>0</v>
      </c>
      <c r="Q91" s="230">
        <v>6088.75</v>
      </c>
      <c r="R91" s="231"/>
      <c r="S91" s="230">
        <v>19726</v>
      </c>
      <c r="T91" s="230">
        <v>0</v>
      </c>
      <c r="U91" s="230">
        <v>19726</v>
      </c>
      <c r="V91" s="232"/>
    </row>
    <row r="92" spans="1:22" x14ac:dyDescent="0.2">
      <c r="A92" s="227">
        <v>2019</v>
      </c>
      <c r="B92" s="227" t="s">
        <v>1471</v>
      </c>
      <c r="C92" s="228" t="s">
        <v>110</v>
      </c>
      <c r="D92" s="229"/>
      <c r="E92" s="229"/>
      <c r="F92" s="229" t="s">
        <v>110</v>
      </c>
      <c r="G92" s="228" t="s">
        <v>1227</v>
      </c>
      <c r="H92" s="230">
        <v>0</v>
      </c>
      <c r="I92" s="230">
        <v>8</v>
      </c>
      <c r="J92" s="231"/>
      <c r="K92" s="230">
        <v>301330.5</v>
      </c>
      <c r="L92" s="230">
        <v>0</v>
      </c>
      <c r="M92" s="230">
        <v>301330.5</v>
      </c>
      <c r="N92" s="231"/>
      <c r="O92" s="230">
        <v>108666.5</v>
      </c>
      <c r="P92" s="230">
        <v>0</v>
      </c>
      <c r="Q92" s="230">
        <v>108666.5</v>
      </c>
      <c r="R92" s="231"/>
      <c r="S92" s="230">
        <v>409997</v>
      </c>
      <c r="T92" s="230">
        <v>0</v>
      </c>
      <c r="U92" s="230">
        <v>409997</v>
      </c>
      <c r="V92" s="232"/>
    </row>
    <row r="93" spans="1:22" x14ac:dyDescent="0.2">
      <c r="A93" s="227">
        <v>2019</v>
      </c>
      <c r="B93" s="227" t="s">
        <v>1479</v>
      </c>
      <c r="C93" s="228" t="s">
        <v>111</v>
      </c>
      <c r="D93" s="229"/>
      <c r="E93" s="229"/>
      <c r="F93" s="229" t="s">
        <v>111</v>
      </c>
      <c r="G93" s="228" t="s">
        <v>1228</v>
      </c>
      <c r="H93" s="230">
        <v>0</v>
      </c>
      <c r="I93" s="230">
        <v>0</v>
      </c>
      <c r="J93" s="231"/>
      <c r="K93" s="230">
        <v>0</v>
      </c>
      <c r="L93" s="230">
        <v>0</v>
      </c>
      <c r="M93" s="230">
        <v>0</v>
      </c>
      <c r="N93" s="231"/>
      <c r="O93" s="230">
        <v>0</v>
      </c>
      <c r="P93" s="230">
        <v>0</v>
      </c>
      <c r="Q93" s="230">
        <v>0</v>
      </c>
      <c r="R93" s="231"/>
      <c r="S93" s="230">
        <v>0</v>
      </c>
      <c r="T93" s="230">
        <v>0</v>
      </c>
      <c r="U93" s="230">
        <v>0</v>
      </c>
      <c r="V93" s="232"/>
    </row>
    <row r="94" spans="1:22" x14ac:dyDescent="0.2">
      <c r="A94" s="227">
        <v>2019</v>
      </c>
      <c r="B94" s="227" t="s">
        <v>1471</v>
      </c>
      <c r="C94" s="228" t="s">
        <v>112</v>
      </c>
      <c r="D94" s="229"/>
      <c r="E94" s="229"/>
      <c r="F94" s="229" t="s">
        <v>112</v>
      </c>
      <c r="G94" s="228" t="s">
        <v>1229</v>
      </c>
      <c r="H94" s="230">
        <v>0</v>
      </c>
      <c r="I94" s="230">
        <v>10</v>
      </c>
      <c r="J94" s="231"/>
      <c r="K94" s="230">
        <v>165759.75</v>
      </c>
      <c r="L94" s="230">
        <v>0</v>
      </c>
      <c r="M94" s="230">
        <v>165759.75</v>
      </c>
      <c r="N94" s="231"/>
      <c r="O94" s="230">
        <v>59424.25</v>
      </c>
      <c r="P94" s="230">
        <v>0</v>
      </c>
      <c r="Q94" s="230">
        <v>59424.25</v>
      </c>
      <c r="R94" s="231"/>
      <c r="S94" s="230">
        <v>225184</v>
      </c>
      <c r="T94" s="230">
        <v>0</v>
      </c>
      <c r="U94" s="230">
        <v>225184</v>
      </c>
      <c r="V94" s="232"/>
    </row>
    <row r="95" spans="1:22" x14ac:dyDescent="0.2">
      <c r="A95" s="227">
        <v>2019</v>
      </c>
      <c r="B95" s="227" t="s">
        <v>1480</v>
      </c>
      <c r="C95" s="228" t="s">
        <v>114</v>
      </c>
      <c r="D95" s="229"/>
      <c r="E95" s="229"/>
      <c r="F95" s="229" t="s">
        <v>114</v>
      </c>
      <c r="G95" s="228" t="s">
        <v>1230</v>
      </c>
      <c r="H95" s="230">
        <v>4</v>
      </c>
      <c r="I95" s="230">
        <v>5</v>
      </c>
      <c r="J95" s="231"/>
      <c r="K95" s="230">
        <v>224818.5</v>
      </c>
      <c r="L95" s="230">
        <v>99919.33</v>
      </c>
      <c r="M95" s="230">
        <v>124899.17</v>
      </c>
      <c r="N95" s="231"/>
      <c r="O95" s="230">
        <v>83249.5</v>
      </c>
      <c r="P95" s="230">
        <v>36999.78</v>
      </c>
      <c r="Q95" s="230">
        <v>46249.72</v>
      </c>
      <c r="R95" s="231"/>
      <c r="S95" s="230">
        <v>308068</v>
      </c>
      <c r="T95" s="230">
        <v>136919.10999999999</v>
      </c>
      <c r="U95" s="230">
        <v>171148.89</v>
      </c>
      <c r="V95" s="232"/>
    </row>
    <row r="96" spans="1:22" x14ac:dyDescent="0.2">
      <c r="A96" s="227">
        <v>2019</v>
      </c>
      <c r="B96" s="227" t="s">
        <v>1475</v>
      </c>
      <c r="C96" s="228" t="s">
        <v>116</v>
      </c>
      <c r="D96" s="229"/>
      <c r="E96" s="229"/>
      <c r="F96" s="229" t="s">
        <v>116</v>
      </c>
      <c r="G96" s="228" t="s">
        <v>1231</v>
      </c>
      <c r="H96" s="230">
        <v>0</v>
      </c>
      <c r="I96" s="230">
        <v>7</v>
      </c>
      <c r="J96" s="231"/>
      <c r="K96" s="230">
        <v>172915.5</v>
      </c>
      <c r="L96" s="230">
        <v>0</v>
      </c>
      <c r="M96" s="230">
        <v>172915.5</v>
      </c>
      <c r="N96" s="231"/>
      <c r="O96" s="230">
        <v>62850.5</v>
      </c>
      <c r="P96" s="230">
        <v>0</v>
      </c>
      <c r="Q96" s="230">
        <v>62850.5</v>
      </c>
      <c r="R96" s="231"/>
      <c r="S96" s="230">
        <v>235766</v>
      </c>
      <c r="T96" s="230">
        <v>0</v>
      </c>
      <c r="U96" s="230">
        <v>235766</v>
      </c>
      <c r="V96" s="232"/>
    </row>
    <row r="97" spans="1:22" x14ac:dyDescent="0.2">
      <c r="A97" s="227">
        <v>2019</v>
      </c>
      <c r="B97" s="227" t="s">
        <v>1470</v>
      </c>
      <c r="C97" s="228" t="s">
        <v>117</v>
      </c>
      <c r="D97" s="229"/>
      <c r="E97" s="229"/>
      <c r="F97" s="229" t="s">
        <v>117</v>
      </c>
      <c r="G97" s="228" t="s">
        <v>1232</v>
      </c>
      <c r="H97" s="230">
        <v>0</v>
      </c>
      <c r="I97" s="230">
        <v>0</v>
      </c>
      <c r="J97" s="231"/>
      <c r="K97" s="230">
        <v>0</v>
      </c>
      <c r="L97" s="230">
        <v>0</v>
      </c>
      <c r="M97" s="230">
        <v>0</v>
      </c>
      <c r="N97" s="231"/>
      <c r="O97" s="230">
        <v>0</v>
      </c>
      <c r="P97" s="230">
        <v>0</v>
      </c>
      <c r="Q97" s="230">
        <v>0</v>
      </c>
      <c r="R97" s="231"/>
      <c r="S97" s="230">
        <v>0</v>
      </c>
      <c r="T97" s="230">
        <v>0</v>
      </c>
      <c r="U97" s="230">
        <v>0</v>
      </c>
      <c r="V97" s="232"/>
    </row>
    <row r="98" spans="1:22" x14ac:dyDescent="0.2">
      <c r="A98" s="227">
        <v>2019</v>
      </c>
      <c r="B98" s="227" t="s">
        <v>1471</v>
      </c>
      <c r="C98" s="228" t="s">
        <v>118</v>
      </c>
      <c r="D98" s="229"/>
      <c r="E98" s="229"/>
      <c r="F98" s="229" t="s">
        <v>118</v>
      </c>
      <c r="G98" s="228" t="s">
        <v>1233</v>
      </c>
      <c r="H98" s="230">
        <v>0</v>
      </c>
      <c r="I98" s="230">
        <v>5</v>
      </c>
      <c r="J98" s="231"/>
      <c r="K98" s="230">
        <v>105675.75</v>
      </c>
      <c r="L98" s="230">
        <v>0</v>
      </c>
      <c r="M98" s="230">
        <v>105675.75</v>
      </c>
      <c r="N98" s="231"/>
      <c r="O98" s="230">
        <v>36260.25</v>
      </c>
      <c r="P98" s="230">
        <v>0</v>
      </c>
      <c r="Q98" s="230">
        <v>36260.25</v>
      </c>
      <c r="R98" s="231"/>
      <c r="S98" s="230">
        <v>141936</v>
      </c>
      <c r="T98" s="230">
        <v>0</v>
      </c>
      <c r="U98" s="230">
        <v>141936</v>
      </c>
      <c r="V98" s="232"/>
    </row>
    <row r="99" spans="1:22" x14ac:dyDescent="0.2">
      <c r="A99" s="227">
        <v>2019</v>
      </c>
      <c r="B99" s="227" t="s">
        <v>1471</v>
      </c>
      <c r="C99" s="228" t="s">
        <v>183</v>
      </c>
      <c r="D99" s="229"/>
      <c r="E99" s="229"/>
      <c r="F99" s="229" t="s">
        <v>701</v>
      </c>
      <c r="G99" s="228" t="s">
        <v>1234</v>
      </c>
      <c r="H99" s="230">
        <v>0</v>
      </c>
      <c r="I99" s="230">
        <v>10</v>
      </c>
      <c r="J99" s="231"/>
      <c r="K99" s="230">
        <v>233689.5</v>
      </c>
      <c r="L99" s="230">
        <v>0</v>
      </c>
      <c r="M99" s="230">
        <v>233689.5</v>
      </c>
      <c r="N99" s="231"/>
      <c r="O99" s="230">
        <v>78752.5</v>
      </c>
      <c r="P99" s="230">
        <v>0</v>
      </c>
      <c r="Q99" s="230">
        <v>78752.5</v>
      </c>
      <c r="R99" s="231"/>
      <c r="S99" s="230">
        <v>312442</v>
      </c>
      <c r="T99" s="230">
        <v>0</v>
      </c>
      <c r="U99" s="230">
        <v>312442</v>
      </c>
      <c r="V99" s="232"/>
    </row>
    <row r="100" spans="1:22" x14ac:dyDescent="0.2">
      <c r="A100" s="227">
        <v>2019</v>
      </c>
      <c r="B100" s="227" t="s">
        <v>1472</v>
      </c>
      <c r="C100" s="228" t="s">
        <v>196</v>
      </c>
      <c r="D100" s="229" t="s">
        <v>1484</v>
      </c>
      <c r="E100" s="229"/>
      <c r="F100" s="229" t="s">
        <v>196</v>
      </c>
      <c r="G100" s="228" t="s">
        <v>1235</v>
      </c>
      <c r="H100" s="230">
        <v>1</v>
      </c>
      <c r="I100" s="230">
        <v>10</v>
      </c>
      <c r="J100" s="231"/>
      <c r="K100" s="230">
        <v>175561.5</v>
      </c>
      <c r="L100" s="230">
        <v>15960.14</v>
      </c>
      <c r="M100" s="230">
        <v>159601.35999999999</v>
      </c>
      <c r="N100" s="231"/>
      <c r="O100" s="230">
        <v>61661.5</v>
      </c>
      <c r="P100" s="230">
        <v>5605.59</v>
      </c>
      <c r="Q100" s="230">
        <v>56055.91</v>
      </c>
      <c r="R100" s="231"/>
      <c r="S100" s="230">
        <v>237223</v>
      </c>
      <c r="T100" s="230">
        <v>21565.73</v>
      </c>
      <c r="U100" s="230">
        <v>215657.27</v>
      </c>
      <c r="V100" s="232"/>
    </row>
    <row r="101" spans="1:22" x14ac:dyDescent="0.2">
      <c r="A101" s="227">
        <v>2019</v>
      </c>
      <c r="B101" s="227" t="s">
        <v>1475</v>
      </c>
      <c r="C101" s="228" t="s">
        <v>322</v>
      </c>
      <c r="D101" s="229"/>
      <c r="E101" s="229"/>
      <c r="F101" s="229" t="s">
        <v>322</v>
      </c>
      <c r="G101" s="228" t="s">
        <v>1236</v>
      </c>
      <c r="H101" s="230">
        <v>0</v>
      </c>
      <c r="I101" s="230">
        <v>1</v>
      </c>
      <c r="J101" s="231"/>
      <c r="K101" s="230">
        <v>41785.5</v>
      </c>
      <c r="L101" s="230">
        <v>0</v>
      </c>
      <c r="M101" s="230">
        <v>41785.5</v>
      </c>
      <c r="N101" s="231"/>
      <c r="O101" s="230">
        <v>14487.5</v>
      </c>
      <c r="P101" s="230">
        <v>0</v>
      </c>
      <c r="Q101" s="230">
        <v>14487.5</v>
      </c>
      <c r="R101" s="231"/>
      <c r="S101" s="230">
        <v>56273</v>
      </c>
      <c r="T101" s="230">
        <v>0</v>
      </c>
      <c r="U101" s="230">
        <v>56273</v>
      </c>
      <c r="V101" s="232"/>
    </row>
    <row r="102" spans="1:22" x14ac:dyDescent="0.2">
      <c r="A102" s="227">
        <v>2019</v>
      </c>
      <c r="B102" s="227" t="s">
        <v>1472</v>
      </c>
      <c r="C102" s="228" t="s">
        <v>120</v>
      </c>
      <c r="D102" s="229"/>
      <c r="E102" s="229"/>
      <c r="F102" s="229" t="s">
        <v>120</v>
      </c>
      <c r="G102" s="228" t="s">
        <v>1237</v>
      </c>
      <c r="H102" s="230">
        <v>0</v>
      </c>
      <c r="I102" s="230">
        <v>12</v>
      </c>
      <c r="J102" s="231"/>
      <c r="K102" s="230">
        <v>174203.25</v>
      </c>
      <c r="L102" s="230">
        <v>0</v>
      </c>
      <c r="M102" s="230">
        <v>174203.25</v>
      </c>
      <c r="N102" s="231"/>
      <c r="O102" s="230">
        <v>61865.75</v>
      </c>
      <c r="P102" s="230">
        <v>0</v>
      </c>
      <c r="Q102" s="230">
        <v>61865.75</v>
      </c>
      <c r="R102" s="231"/>
      <c r="S102" s="230">
        <v>236069</v>
      </c>
      <c r="T102" s="230">
        <v>0</v>
      </c>
      <c r="U102" s="230">
        <v>236069</v>
      </c>
      <c r="V102" s="232"/>
    </row>
    <row r="103" spans="1:22" x14ac:dyDescent="0.2">
      <c r="A103" s="227">
        <v>2019</v>
      </c>
      <c r="B103" s="227" t="s">
        <v>1479</v>
      </c>
      <c r="C103" s="228" t="s">
        <v>121</v>
      </c>
      <c r="D103" s="229"/>
      <c r="E103" s="229"/>
      <c r="F103" s="229" t="s">
        <v>121</v>
      </c>
      <c r="G103" s="228" t="s">
        <v>1238</v>
      </c>
      <c r="H103" s="230">
        <v>0</v>
      </c>
      <c r="I103" s="230">
        <v>10</v>
      </c>
      <c r="J103" s="231"/>
      <c r="K103" s="230">
        <v>122559</v>
      </c>
      <c r="L103" s="230">
        <v>0</v>
      </c>
      <c r="M103" s="230">
        <v>122559</v>
      </c>
      <c r="N103" s="231"/>
      <c r="O103" s="230">
        <v>42871</v>
      </c>
      <c r="P103" s="230">
        <v>0</v>
      </c>
      <c r="Q103" s="230">
        <v>42871</v>
      </c>
      <c r="R103" s="231"/>
      <c r="S103" s="230">
        <v>165430</v>
      </c>
      <c r="T103" s="230">
        <v>0</v>
      </c>
      <c r="U103" s="230">
        <v>165430</v>
      </c>
      <c r="V103" s="232"/>
    </row>
    <row r="104" spans="1:22" x14ac:dyDescent="0.2">
      <c r="A104" s="227">
        <v>2019</v>
      </c>
      <c r="B104" s="227" t="s">
        <v>1480</v>
      </c>
      <c r="C104" s="228" t="s">
        <v>119</v>
      </c>
      <c r="D104" s="229"/>
      <c r="E104" s="229"/>
      <c r="F104" s="229" t="s">
        <v>119</v>
      </c>
      <c r="G104" s="228" t="s">
        <v>1239</v>
      </c>
      <c r="H104" s="230">
        <v>0</v>
      </c>
      <c r="I104" s="230">
        <v>4</v>
      </c>
      <c r="J104" s="231"/>
      <c r="K104" s="230">
        <v>102255.75</v>
      </c>
      <c r="L104" s="230">
        <v>0</v>
      </c>
      <c r="M104" s="230">
        <v>102255.75</v>
      </c>
      <c r="N104" s="231"/>
      <c r="O104" s="230">
        <v>37143.25</v>
      </c>
      <c r="P104" s="230">
        <v>0</v>
      </c>
      <c r="Q104" s="230">
        <v>37143.25</v>
      </c>
      <c r="R104" s="231"/>
      <c r="S104" s="230">
        <v>139399</v>
      </c>
      <c r="T104" s="230">
        <v>0</v>
      </c>
      <c r="U104" s="230">
        <v>139399</v>
      </c>
      <c r="V104" s="232"/>
    </row>
    <row r="105" spans="1:22" x14ac:dyDescent="0.2">
      <c r="A105" s="227">
        <v>2019</v>
      </c>
      <c r="B105" s="227" t="s">
        <v>1476</v>
      </c>
      <c r="C105" s="228" t="s">
        <v>54</v>
      </c>
      <c r="D105" s="229"/>
      <c r="E105" s="229"/>
      <c r="F105" s="229" t="s">
        <v>54</v>
      </c>
      <c r="G105" s="228" t="s">
        <v>1240</v>
      </c>
      <c r="H105" s="230">
        <v>0</v>
      </c>
      <c r="I105" s="230">
        <v>5</v>
      </c>
      <c r="J105" s="231"/>
      <c r="K105" s="230">
        <v>135069</v>
      </c>
      <c r="L105" s="230">
        <v>0</v>
      </c>
      <c r="M105" s="230">
        <v>135069</v>
      </c>
      <c r="N105" s="231"/>
      <c r="O105" s="230">
        <v>58905</v>
      </c>
      <c r="P105" s="230">
        <v>0</v>
      </c>
      <c r="Q105" s="230">
        <v>58905</v>
      </c>
      <c r="R105" s="231"/>
      <c r="S105" s="230">
        <v>193974</v>
      </c>
      <c r="T105" s="230">
        <v>0</v>
      </c>
      <c r="U105" s="230">
        <v>193974</v>
      </c>
      <c r="V105" s="232"/>
    </row>
    <row r="106" spans="1:22" x14ac:dyDescent="0.2">
      <c r="A106" s="227">
        <v>2019</v>
      </c>
      <c r="B106" s="227" t="s">
        <v>1479</v>
      </c>
      <c r="C106" s="228" t="s">
        <v>123</v>
      </c>
      <c r="D106" s="229"/>
      <c r="E106" s="229"/>
      <c r="F106" s="229" t="s">
        <v>123</v>
      </c>
      <c r="G106" s="228" t="s">
        <v>1241</v>
      </c>
      <c r="H106" s="230">
        <v>0</v>
      </c>
      <c r="I106" s="230">
        <v>8</v>
      </c>
      <c r="J106" s="231"/>
      <c r="K106" s="230">
        <v>136340.25</v>
      </c>
      <c r="L106" s="230">
        <v>0</v>
      </c>
      <c r="M106" s="230">
        <v>136340.25</v>
      </c>
      <c r="N106" s="231"/>
      <c r="O106" s="230">
        <v>46255.75</v>
      </c>
      <c r="P106" s="230">
        <v>0</v>
      </c>
      <c r="Q106" s="230">
        <v>46255.75</v>
      </c>
      <c r="R106" s="231"/>
      <c r="S106" s="230">
        <v>182596</v>
      </c>
      <c r="T106" s="230">
        <v>0</v>
      </c>
      <c r="U106" s="230">
        <v>182596</v>
      </c>
      <c r="V106" s="232"/>
    </row>
    <row r="107" spans="1:22" x14ac:dyDescent="0.2">
      <c r="A107" s="227">
        <v>2019</v>
      </c>
      <c r="B107" s="227" t="s">
        <v>1471</v>
      </c>
      <c r="C107" s="228" t="s">
        <v>124</v>
      </c>
      <c r="D107" s="229"/>
      <c r="E107" s="229"/>
      <c r="F107" s="229" t="s">
        <v>124</v>
      </c>
      <c r="G107" s="228" t="s">
        <v>1242</v>
      </c>
      <c r="H107" s="230">
        <v>0</v>
      </c>
      <c r="I107" s="230">
        <v>5</v>
      </c>
      <c r="J107" s="231"/>
      <c r="K107" s="230">
        <v>107556</v>
      </c>
      <c r="L107" s="230">
        <v>0</v>
      </c>
      <c r="M107" s="230">
        <v>107556</v>
      </c>
      <c r="N107" s="231"/>
      <c r="O107" s="230">
        <v>42094</v>
      </c>
      <c r="P107" s="230">
        <v>0</v>
      </c>
      <c r="Q107" s="230">
        <v>42094</v>
      </c>
      <c r="R107" s="231"/>
      <c r="S107" s="230">
        <v>149650</v>
      </c>
      <c r="T107" s="230">
        <v>0</v>
      </c>
      <c r="U107" s="230">
        <v>149650</v>
      </c>
      <c r="V107" s="232"/>
    </row>
    <row r="108" spans="1:22" x14ac:dyDescent="0.2">
      <c r="A108" s="227">
        <v>2019</v>
      </c>
      <c r="B108" s="227" t="s">
        <v>1475</v>
      </c>
      <c r="C108" s="228" t="s">
        <v>125</v>
      </c>
      <c r="D108" s="229"/>
      <c r="E108" s="229"/>
      <c r="F108" s="229" t="s">
        <v>125</v>
      </c>
      <c r="G108" s="228" t="s">
        <v>1243</v>
      </c>
      <c r="H108" s="230">
        <v>6</v>
      </c>
      <c r="I108" s="230">
        <v>0</v>
      </c>
      <c r="J108" s="231"/>
      <c r="K108" s="230">
        <v>167883</v>
      </c>
      <c r="L108" s="230">
        <v>167883</v>
      </c>
      <c r="M108" s="230">
        <v>0</v>
      </c>
      <c r="N108" s="231"/>
      <c r="O108" s="230">
        <v>68655</v>
      </c>
      <c r="P108" s="230">
        <v>68655</v>
      </c>
      <c r="Q108" s="230">
        <v>0</v>
      </c>
      <c r="R108" s="231"/>
      <c r="S108" s="230">
        <v>236538</v>
      </c>
      <c r="T108" s="230">
        <v>236538</v>
      </c>
      <c r="U108" s="230">
        <v>0</v>
      </c>
      <c r="V108" s="232"/>
    </row>
    <row r="109" spans="1:22" x14ac:dyDescent="0.2">
      <c r="A109" s="227">
        <v>2019</v>
      </c>
      <c r="B109" s="227" t="s">
        <v>1477</v>
      </c>
      <c r="C109" s="228" t="s">
        <v>126</v>
      </c>
      <c r="D109" s="229"/>
      <c r="E109" s="229"/>
      <c r="F109" s="229" t="s">
        <v>126</v>
      </c>
      <c r="G109" s="228" t="s">
        <v>1244</v>
      </c>
      <c r="H109" s="230">
        <v>5</v>
      </c>
      <c r="I109" s="230">
        <v>11</v>
      </c>
      <c r="J109" s="231"/>
      <c r="K109" s="230">
        <v>256008</v>
      </c>
      <c r="L109" s="230">
        <v>80002.5</v>
      </c>
      <c r="M109" s="230">
        <v>176005.5</v>
      </c>
      <c r="N109" s="231"/>
      <c r="O109" s="230">
        <v>98746</v>
      </c>
      <c r="P109" s="230">
        <v>30858.13</v>
      </c>
      <c r="Q109" s="230">
        <v>67887.87</v>
      </c>
      <c r="R109" s="231"/>
      <c r="S109" s="230">
        <v>354754</v>
      </c>
      <c r="T109" s="230">
        <v>110860.63</v>
      </c>
      <c r="U109" s="230">
        <v>243893.37</v>
      </c>
      <c r="V109" s="232"/>
    </row>
    <row r="110" spans="1:22" x14ac:dyDescent="0.2">
      <c r="A110" s="227">
        <v>2019</v>
      </c>
      <c r="B110" s="227" t="s">
        <v>1472</v>
      </c>
      <c r="C110" s="228" t="s">
        <v>127</v>
      </c>
      <c r="D110" s="229"/>
      <c r="E110" s="229"/>
      <c r="F110" s="229" t="s">
        <v>127</v>
      </c>
      <c r="G110" s="228" t="s">
        <v>1245</v>
      </c>
      <c r="H110" s="230">
        <v>0</v>
      </c>
      <c r="I110" s="230">
        <v>9</v>
      </c>
      <c r="J110" s="231"/>
      <c r="K110" s="230">
        <v>61886.25</v>
      </c>
      <c r="L110" s="230">
        <v>0</v>
      </c>
      <c r="M110" s="230">
        <v>61886.25</v>
      </c>
      <c r="N110" s="231"/>
      <c r="O110" s="230">
        <v>23344.75</v>
      </c>
      <c r="P110" s="230">
        <v>0</v>
      </c>
      <c r="Q110" s="230">
        <v>23344.75</v>
      </c>
      <c r="R110" s="231"/>
      <c r="S110" s="230">
        <v>85231</v>
      </c>
      <c r="T110" s="230">
        <v>0</v>
      </c>
      <c r="U110" s="230">
        <v>85231</v>
      </c>
      <c r="V110" s="232"/>
    </row>
    <row r="111" spans="1:22" x14ac:dyDescent="0.2">
      <c r="A111" s="227">
        <v>2019</v>
      </c>
      <c r="B111" s="227" t="s">
        <v>1475</v>
      </c>
      <c r="C111" s="228" t="s">
        <v>128</v>
      </c>
      <c r="D111" s="229"/>
      <c r="E111" s="229"/>
      <c r="F111" s="229" t="s">
        <v>128</v>
      </c>
      <c r="G111" s="228" t="s">
        <v>1246</v>
      </c>
      <c r="H111" s="230">
        <v>0</v>
      </c>
      <c r="I111" s="230">
        <v>10</v>
      </c>
      <c r="J111" s="231"/>
      <c r="K111" s="230">
        <v>414651</v>
      </c>
      <c r="L111" s="230">
        <v>0</v>
      </c>
      <c r="M111" s="230">
        <v>414651</v>
      </c>
      <c r="N111" s="231"/>
      <c r="O111" s="230">
        <v>147320</v>
      </c>
      <c r="P111" s="230">
        <v>0</v>
      </c>
      <c r="Q111" s="230">
        <v>147320</v>
      </c>
      <c r="R111" s="231"/>
      <c r="S111" s="230">
        <v>561971</v>
      </c>
      <c r="T111" s="230">
        <v>0</v>
      </c>
      <c r="U111" s="230">
        <v>561971</v>
      </c>
      <c r="V111" s="232"/>
    </row>
    <row r="112" spans="1:22" x14ac:dyDescent="0.2">
      <c r="A112" s="227">
        <v>2019</v>
      </c>
      <c r="B112" s="227" t="s">
        <v>1470</v>
      </c>
      <c r="C112" s="228" t="s">
        <v>129</v>
      </c>
      <c r="D112" s="229"/>
      <c r="E112" s="229"/>
      <c r="F112" s="229" t="s">
        <v>129</v>
      </c>
      <c r="G112" s="228" t="s">
        <v>1247</v>
      </c>
      <c r="H112" s="230">
        <v>0</v>
      </c>
      <c r="I112" s="230">
        <v>6</v>
      </c>
      <c r="J112" s="231"/>
      <c r="K112" s="230">
        <v>137904</v>
      </c>
      <c r="L112" s="230">
        <v>0</v>
      </c>
      <c r="M112" s="230">
        <v>137904</v>
      </c>
      <c r="N112" s="231"/>
      <c r="O112" s="230">
        <v>48536</v>
      </c>
      <c r="P112" s="230">
        <v>0</v>
      </c>
      <c r="Q112" s="230">
        <v>48536</v>
      </c>
      <c r="R112" s="231"/>
      <c r="S112" s="230">
        <v>186440</v>
      </c>
      <c r="T112" s="230">
        <v>0</v>
      </c>
      <c r="U112" s="230">
        <v>186440</v>
      </c>
      <c r="V112" s="232"/>
    </row>
    <row r="113" spans="1:22" x14ac:dyDescent="0.2">
      <c r="A113" s="227">
        <v>2019</v>
      </c>
      <c r="B113" s="227" t="s">
        <v>1476</v>
      </c>
      <c r="C113" s="228" t="s">
        <v>130</v>
      </c>
      <c r="D113" s="229"/>
      <c r="E113" s="229"/>
      <c r="F113" s="229" t="s">
        <v>130</v>
      </c>
      <c r="G113" s="228" t="s">
        <v>1248</v>
      </c>
      <c r="H113" s="230">
        <v>0</v>
      </c>
      <c r="I113" s="230">
        <v>1</v>
      </c>
      <c r="J113" s="231"/>
      <c r="K113" s="230">
        <v>83034.75</v>
      </c>
      <c r="L113" s="230">
        <v>0</v>
      </c>
      <c r="M113" s="230">
        <v>83034.75</v>
      </c>
      <c r="N113" s="231"/>
      <c r="O113" s="230">
        <v>47289.25</v>
      </c>
      <c r="P113" s="230">
        <v>0</v>
      </c>
      <c r="Q113" s="230">
        <v>47289.25</v>
      </c>
      <c r="R113" s="231"/>
      <c r="S113" s="230">
        <v>130324</v>
      </c>
      <c r="T113" s="230">
        <v>0</v>
      </c>
      <c r="U113" s="230">
        <v>130324</v>
      </c>
      <c r="V113" s="232"/>
    </row>
    <row r="114" spans="1:22" x14ac:dyDescent="0.2">
      <c r="A114" s="227">
        <v>2019</v>
      </c>
      <c r="B114" s="227" t="s">
        <v>1471</v>
      </c>
      <c r="C114" s="228" t="s">
        <v>131</v>
      </c>
      <c r="D114" s="229" t="s">
        <v>1485</v>
      </c>
      <c r="E114" s="229"/>
      <c r="F114" s="229" t="s">
        <v>131</v>
      </c>
      <c r="G114" s="228" t="s">
        <v>1249</v>
      </c>
      <c r="H114" s="230">
        <v>0</v>
      </c>
      <c r="I114" s="230">
        <v>8</v>
      </c>
      <c r="J114" s="231"/>
      <c r="K114" s="230">
        <v>413842.5</v>
      </c>
      <c r="L114" s="230">
        <v>0</v>
      </c>
      <c r="M114" s="230">
        <v>413842.5</v>
      </c>
      <c r="N114" s="231"/>
      <c r="O114" s="230">
        <v>144492.5</v>
      </c>
      <c r="P114" s="230">
        <v>0</v>
      </c>
      <c r="Q114" s="230">
        <v>144492.5</v>
      </c>
      <c r="R114" s="231"/>
      <c r="S114" s="230">
        <v>558335</v>
      </c>
      <c r="T114" s="230">
        <v>0</v>
      </c>
      <c r="U114" s="230">
        <v>558335</v>
      </c>
      <c r="V114" s="232"/>
    </row>
    <row r="115" spans="1:22" x14ac:dyDescent="0.2">
      <c r="A115" s="227">
        <v>2019</v>
      </c>
      <c r="B115" s="227" t="s">
        <v>1475</v>
      </c>
      <c r="C115" s="228" t="s">
        <v>132</v>
      </c>
      <c r="D115" s="229"/>
      <c r="E115" s="229"/>
      <c r="F115" s="229" t="s">
        <v>132</v>
      </c>
      <c r="G115" s="228" t="s">
        <v>1250</v>
      </c>
      <c r="H115" s="230">
        <v>1</v>
      </c>
      <c r="I115" s="230">
        <v>1</v>
      </c>
      <c r="J115" s="231"/>
      <c r="K115" s="230">
        <v>342141</v>
      </c>
      <c r="L115" s="230">
        <v>171070.5</v>
      </c>
      <c r="M115" s="230">
        <v>171070.5</v>
      </c>
      <c r="N115" s="231"/>
      <c r="O115" s="230">
        <v>132320</v>
      </c>
      <c r="P115" s="230">
        <v>66160</v>
      </c>
      <c r="Q115" s="230">
        <v>66160</v>
      </c>
      <c r="R115" s="231"/>
      <c r="S115" s="230">
        <v>474461</v>
      </c>
      <c r="T115" s="230">
        <v>237230.5</v>
      </c>
      <c r="U115" s="230">
        <v>237230.5</v>
      </c>
      <c r="V115" s="232"/>
    </row>
    <row r="116" spans="1:22" x14ac:dyDescent="0.2">
      <c r="A116" s="227">
        <v>2019</v>
      </c>
      <c r="B116" s="227" t="s">
        <v>1476</v>
      </c>
      <c r="C116" s="228" t="s">
        <v>133</v>
      </c>
      <c r="D116" s="229"/>
      <c r="E116" s="229"/>
      <c r="F116" s="229" t="s">
        <v>133</v>
      </c>
      <c r="G116" s="228" t="s">
        <v>1251</v>
      </c>
      <c r="H116" s="230">
        <v>0</v>
      </c>
      <c r="I116" s="230">
        <v>2</v>
      </c>
      <c r="J116" s="231"/>
      <c r="K116" s="230">
        <v>216683.25</v>
      </c>
      <c r="L116" s="230">
        <v>0</v>
      </c>
      <c r="M116" s="230">
        <v>216683.25</v>
      </c>
      <c r="N116" s="231"/>
      <c r="O116" s="230">
        <v>102306.75</v>
      </c>
      <c r="P116" s="230">
        <v>0</v>
      </c>
      <c r="Q116" s="230">
        <v>102306.75</v>
      </c>
      <c r="R116" s="231"/>
      <c r="S116" s="230">
        <v>318990</v>
      </c>
      <c r="T116" s="230">
        <v>0</v>
      </c>
      <c r="U116" s="230">
        <v>318990</v>
      </c>
      <c r="V116" s="232"/>
    </row>
    <row r="117" spans="1:22" x14ac:dyDescent="0.2">
      <c r="A117" s="227">
        <v>2019</v>
      </c>
      <c r="B117" s="227" t="s">
        <v>1472</v>
      </c>
      <c r="C117" s="228" t="s">
        <v>134</v>
      </c>
      <c r="D117" s="229" t="s">
        <v>1486</v>
      </c>
      <c r="E117" s="229"/>
      <c r="F117" s="229" t="s">
        <v>134</v>
      </c>
      <c r="G117" s="228" t="s">
        <v>1252</v>
      </c>
      <c r="H117" s="230">
        <v>7</v>
      </c>
      <c r="I117" s="230">
        <v>10</v>
      </c>
      <c r="J117" s="231"/>
      <c r="K117" s="230">
        <v>211710</v>
      </c>
      <c r="L117" s="230">
        <v>87174.71</v>
      </c>
      <c r="M117" s="230">
        <v>124535.29</v>
      </c>
      <c r="N117" s="231"/>
      <c r="O117" s="230">
        <v>92812</v>
      </c>
      <c r="P117" s="230">
        <v>38216.71</v>
      </c>
      <c r="Q117" s="230">
        <v>54595.29</v>
      </c>
      <c r="R117" s="231"/>
      <c r="S117" s="230">
        <v>304522</v>
      </c>
      <c r="T117" s="230">
        <v>125391.42000000001</v>
      </c>
      <c r="U117" s="230">
        <v>179130.58</v>
      </c>
      <c r="V117" s="232"/>
    </row>
    <row r="118" spans="1:22" x14ac:dyDescent="0.2">
      <c r="A118" s="227">
        <v>2019</v>
      </c>
      <c r="B118" s="227" t="s">
        <v>1474</v>
      </c>
      <c r="C118" s="228" t="s">
        <v>135</v>
      </c>
      <c r="D118" s="229"/>
      <c r="E118" s="229"/>
      <c r="F118" s="229" t="s">
        <v>135</v>
      </c>
      <c r="G118" s="228" t="s">
        <v>1253</v>
      </c>
      <c r="H118" s="230">
        <v>1</v>
      </c>
      <c r="I118" s="230">
        <v>1</v>
      </c>
      <c r="J118" s="231"/>
      <c r="K118" s="230">
        <v>47095.5</v>
      </c>
      <c r="L118" s="230">
        <v>23547.75</v>
      </c>
      <c r="M118" s="230">
        <v>23547.75</v>
      </c>
      <c r="N118" s="231"/>
      <c r="O118" s="230">
        <v>16973.5</v>
      </c>
      <c r="P118" s="230">
        <v>8486.75</v>
      </c>
      <c r="Q118" s="230">
        <v>8486.75</v>
      </c>
      <c r="R118" s="231"/>
      <c r="S118" s="230">
        <v>64069</v>
      </c>
      <c r="T118" s="230">
        <v>32034.5</v>
      </c>
      <c r="U118" s="230">
        <v>32034.5</v>
      </c>
      <c r="V118" s="232"/>
    </row>
    <row r="119" spans="1:22" x14ac:dyDescent="0.2">
      <c r="A119" s="227">
        <v>2019</v>
      </c>
      <c r="B119" s="227" t="s">
        <v>1471</v>
      </c>
      <c r="C119" s="228" t="s">
        <v>136</v>
      </c>
      <c r="D119" s="229"/>
      <c r="E119" s="229"/>
      <c r="F119" s="229" t="s">
        <v>136</v>
      </c>
      <c r="G119" s="228" t="s">
        <v>1254</v>
      </c>
      <c r="H119" s="230">
        <v>3</v>
      </c>
      <c r="I119" s="230">
        <v>3</v>
      </c>
      <c r="J119" s="231"/>
      <c r="K119" s="230">
        <v>254565</v>
      </c>
      <c r="L119" s="230">
        <v>127282.5</v>
      </c>
      <c r="M119" s="230">
        <v>127282.5</v>
      </c>
      <c r="N119" s="231"/>
      <c r="O119" s="230">
        <v>96760</v>
      </c>
      <c r="P119" s="230">
        <v>48380</v>
      </c>
      <c r="Q119" s="230">
        <v>48380</v>
      </c>
      <c r="R119" s="231"/>
      <c r="S119" s="230">
        <v>351325</v>
      </c>
      <c r="T119" s="230">
        <v>175662.5</v>
      </c>
      <c r="U119" s="230">
        <v>175662.5</v>
      </c>
      <c r="V119" s="232"/>
    </row>
    <row r="120" spans="1:22" x14ac:dyDescent="0.2">
      <c r="A120" s="227">
        <v>2019</v>
      </c>
      <c r="B120" s="227" t="s">
        <v>1474</v>
      </c>
      <c r="C120" s="228" t="s">
        <v>137</v>
      </c>
      <c r="D120" s="229"/>
      <c r="E120" s="229"/>
      <c r="F120" s="229" t="s">
        <v>137</v>
      </c>
      <c r="G120" s="228" t="s">
        <v>1255</v>
      </c>
      <c r="H120" s="230">
        <v>3</v>
      </c>
      <c r="I120" s="230">
        <v>9</v>
      </c>
      <c r="J120" s="231"/>
      <c r="K120" s="230">
        <v>171536.25</v>
      </c>
      <c r="L120" s="230">
        <v>42884.06</v>
      </c>
      <c r="M120" s="230">
        <v>128652.19</v>
      </c>
      <c r="N120" s="231"/>
      <c r="O120" s="230">
        <v>66027.75</v>
      </c>
      <c r="P120" s="230">
        <v>16506.939999999999</v>
      </c>
      <c r="Q120" s="230">
        <v>49520.81</v>
      </c>
      <c r="R120" s="231"/>
      <c r="S120" s="230">
        <v>237564</v>
      </c>
      <c r="T120" s="230">
        <v>59391</v>
      </c>
      <c r="U120" s="230">
        <v>178173</v>
      </c>
      <c r="V120" s="232"/>
    </row>
    <row r="121" spans="1:22" x14ac:dyDescent="0.2">
      <c r="A121" s="227">
        <v>2019</v>
      </c>
      <c r="B121" s="227" t="s">
        <v>1470</v>
      </c>
      <c r="C121" s="228" t="s">
        <v>138</v>
      </c>
      <c r="D121" s="229"/>
      <c r="E121" s="229"/>
      <c r="F121" s="229" t="s">
        <v>138</v>
      </c>
      <c r="G121" s="228" t="s">
        <v>1256</v>
      </c>
      <c r="H121" s="230">
        <v>0</v>
      </c>
      <c r="I121" s="230">
        <v>0</v>
      </c>
      <c r="J121" s="231"/>
      <c r="K121" s="230">
        <v>0</v>
      </c>
      <c r="L121" s="230">
        <v>0</v>
      </c>
      <c r="M121" s="230">
        <v>0</v>
      </c>
      <c r="N121" s="231"/>
      <c r="O121" s="230">
        <v>0</v>
      </c>
      <c r="P121" s="230">
        <v>0</v>
      </c>
      <c r="Q121" s="230">
        <v>0</v>
      </c>
      <c r="R121" s="231"/>
      <c r="S121" s="230">
        <v>0</v>
      </c>
      <c r="T121" s="230">
        <v>0</v>
      </c>
      <c r="U121" s="230">
        <v>0</v>
      </c>
      <c r="V121" s="232"/>
    </row>
    <row r="122" spans="1:22" x14ac:dyDescent="0.2">
      <c r="A122" s="227">
        <v>2019</v>
      </c>
      <c r="B122" s="227" t="s">
        <v>1475</v>
      </c>
      <c r="C122" s="228" t="s">
        <v>139</v>
      </c>
      <c r="D122" s="229"/>
      <c r="E122" s="229"/>
      <c r="F122" s="229" t="s">
        <v>139</v>
      </c>
      <c r="G122" s="228" t="s">
        <v>1257</v>
      </c>
      <c r="H122" s="230">
        <v>0</v>
      </c>
      <c r="I122" s="230">
        <v>5</v>
      </c>
      <c r="J122" s="231"/>
      <c r="K122" s="230">
        <v>23748</v>
      </c>
      <c r="L122" s="230">
        <v>0</v>
      </c>
      <c r="M122" s="230">
        <v>23748</v>
      </c>
      <c r="N122" s="231"/>
      <c r="O122" s="230">
        <v>8232</v>
      </c>
      <c r="P122" s="230">
        <v>0</v>
      </c>
      <c r="Q122" s="230">
        <v>8232</v>
      </c>
      <c r="R122" s="231"/>
      <c r="S122" s="230">
        <v>31980</v>
      </c>
      <c r="T122" s="230">
        <v>0</v>
      </c>
      <c r="U122" s="230">
        <v>31980</v>
      </c>
      <c r="V122" s="232"/>
    </row>
    <row r="123" spans="1:22" x14ac:dyDescent="0.2">
      <c r="A123" s="227">
        <v>2019</v>
      </c>
      <c r="B123" s="227" t="s">
        <v>1471</v>
      </c>
      <c r="C123" s="228" t="s">
        <v>140</v>
      </c>
      <c r="D123" s="229"/>
      <c r="E123" s="229"/>
      <c r="F123" s="229" t="s">
        <v>140</v>
      </c>
      <c r="G123" s="228" t="s">
        <v>1258</v>
      </c>
      <c r="H123" s="230">
        <v>1</v>
      </c>
      <c r="I123" s="230">
        <v>2</v>
      </c>
      <c r="J123" s="231"/>
      <c r="K123" s="230">
        <v>101700.75</v>
      </c>
      <c r="L123" s="230">
        <v>33900.25</v>
      </c>
      <c r="M123" s="230">
        <v>67800.5</v>
      </c>
      <c r="N123" s="231"/>
      <c r="O123" s="230">
        <v>35791.25</v>
      </c>
      <c r="P123" s="230">
        <v>11930.42</v>
      </c>
      <c r="Q123" s="230">
        <v>23860.83</v>
      </c>
      <c r="R123" s="231"/>
      <c r="S123" s="230">
        <v>137492</v>
      </c>
      <c r="T123" s="230">
        <v>45830.67</v>
      </c>
      <c r="U123" s="230">
        <v>91661.33</v>
      </c>
      <c r="V123" s="232"/>
    </row>
    <row r="124" spans="1:22" x14ac:dyDescent="0.2">
      <c r="A124" s="227">
        <v>2019</v>
      </c>
      <c r="B124" s="227" t="s">
        <v>1472</v>
      </c>
      <c r="C124" s="228" t="s">
        <v>141</v>
      </c>
      <c r="D124" s="229"/>
      <c r="E124" s="229"/>
      <c r="F124" s="229" t="s">
        <v>141</v>
      </c>
      <c r="G124" s="228" t="s">
        <v>1259</v>
      </c>
      <c r="H124" s="230">
        <v>0</v>
      </c>
      <c r="I124" s="230">
        <v>7</v>
      </c>
      <c r="J124" s="231"/>
      <c r="K124" s="230">
        <v>379805.25</v>
      </c>
      <c r="L124" s="230">
        <v>0</v>
      </c>
      <c r="M124" s="230">
        <v>379805.25</v>
      </c>
      <c r="N124" s="231"/>
      <c r="O124" s="230">
        <v>155605.75</v>
      </c>
      <c r="P124" s="230">
        <v>0</v>
      </c>
      <c r="Q124" s="230">
        <v>155605.75</v>
      </c>
      <c r="R124" s="231"/>
      <c r="S124" s="230">
        <v>535411</v>
      </c>
      <c r="T124" s="230">
        <v>0</v>
      </c>
      <c r="U124" s="230">
        <v>535411</v>
      </c>
      <c r="V124" s="232"/>
    </row>
    <row r="125" spans="1:22" x14ac:dyDescent="0.2">
      <c r="A125" s="227">
        <v>2019</v>
      </c>
      <c r="B125" s="227" t="s">
        <v>1470</v>
      </c>
      <c r="C125" s="228" t="s">
        <v>142</v>
      </c>
      <c r="D125" s="229"/>
      <c r="E125" s="229"/>
      <c r="F125" s="229" t="s">
        <v>142</v>
      </c>
      <c r="G125" s="228" t="s">
        <v>1260</v>
      </c>
      <c r="H125" s="230">
        <v>0</v>
      </c>
      <c r="I125" s="230">
        <v>8</v>
      </c>
      <c r="J125" s="231"/>
      <c r="K125" s="230">
        <v>103252.5</v>
      </c>
      <c r="L125" s="230">
        <v>0</v>
      </c>
      <c r="M125" s="230">
        <v>103252.5</v>
      </c>
      <c r="N125" s="231"/>
      <c r="O125" s="230">
        <v>35499.5</v>
      </c>
      <c r="P125" s="230">
        <v>0</v>
      </c>
      <c r="Q125" s="230">
        <v>35499.5</v>
      </c>
      <c r="R125" s="231"/>
      <c r="S125" s="230">
        <v>138752</v>
      </c>
      <c r="T125" s="230">
        <v>0</v>
      </c>
      <c r="U125" s="230">
        <v>138752</v>
      </c>
      <c r="V125" s="232"/>
    </row>
    <row r="126" spans="1:22" x14ac:dyDescent="0.2">
      <c r="A126" s="227">
        <v>2019</v>
      </c>
      <c r="B126" s="227" t="s">
        <v>1471</v>
      </c>
      <c r="C126" s="228" t="s">
        <v>145</v>
      </c>
      <c r="D126" s="229"/>
      <c r="E126" s="229"/>
      <c r="F126" s="229" t="s">
        <v>145</v>
      </c>
      <c r="G126" s="228" t="s">
        <v>4</v>
      </c>
      <c r="H126" s="230">
        <v>0</v>
      </c>
      <c r="I126" s="230">
        <v>10</v>
      </c>
      <c r="J126" s="231"/>
      <c r="K126" s="230">
        <v>118380.75</v>
      </c>
      <c r="L126" s="230">
        <v>0</v>
      </c>
      <c r="M126" s="230">
        <v>118380.75</v>
      </c>
      <c r="N126" s="231"/>
      <c r="O126" s="230">
        <v>40782.25</v>
      </c>
      <c r="P126" s="230">
        <v>0</v>
      </c>
      <c r="Q126" s="230">
        <v>40782.25</v>
      </c>
      <c r="R126" s="231"/>
      <c r="S126" s="230">
        <v>159163</v>
      </c>
      <c r="T126" s="230">
        <v>0</v>
      </c>
      <c r="U126" s="230">
        <v>159163</v>
      </c>
      <c r="V126" s="232"/>
    </row>
    <row r="127" spans="1:22" x14ac:dyDescent="0.2">
      <c r="A127" s="227">
        <v>2019</v>
      </c>
      <c r="B127" s="227" t="s">
        <v>1475</v>
      </c>
      <c r="C127" s="228" t="s">
        <v>143</v>
      </c>
      <c r="D127" s="229"/>
      <c r="E127" s="229"/>
      <c r="F127" s="229" t="s">
        <v>143</v>
      </c>
      <c r="G127" s="228" t="s">
        <v>1261</v>
      </c>
      <c r="H127" s="230">
        <v>1</v>
      </c>
      <c r="I127" s="230">
        <v>1</v>
      </c>
      <c r="J127" s="231"/>
      <c r="K127" s="230">
        <v>29387.25</v>
      </c>
      <c r="L127" s="230">
        <v>14693.63</v>
      </c>
      <c r="M127" s="230">
        <v>14693.62</v>
      </c>
      <c r="N127" s="231"/>
      <c r="O127" s="230">
        <v>11054.75</v>
      </c>
      <c r="P127" s="230">
        <v>5527.38</v>
      </c>
      <c r="Q127" s="230">
        <v>5527.37</v>
      </c>
      <c r="R127" s="231"/>
      <c r="S127" s="230">
        <v>40442</v>
      </c>
      <c r="T127" s="230">
        <v>20221.009999999998</v>
      </c>
      <c r="U127" s="230">
        <v>20220.990000000002</v>
      </c>
      <c r="V127" s="232"/>
    </row>
    <row r="128" spans="1:22" x14ac:dyDescent="0.2">
      <c r="A128" s="227">
        <v>2019</v>
      </c>
      <c r="B128" s="227" t="s">
        <v>1475</v>
      </c>
      <c r="C128" s="228" t="s">
        <v>172</v>
      </c>
      <c r="D128" s="229"/>
      <c r="E128" s="229"/>
      <c r="F128" s="229" t="s">
        <v>172</v>
      </c>
      <c r="G128" s="228" t="s">
        <v>1262</v>
      </c>
      <c r="H128" s="230">
        <v>4</v>
      </c>
      <c r="I128" s="230">
        <v>8</v>
      </c>
      <c r="J128" s="231"/>
      <c r="K128" s="230">
        <v>549861.75</v>
      </c>
      <c r="L128" s="230">
        <v>183287.25</v>
      </c>
      <c r="M128" s="230">
        <v>366574.5</v>
      </c>
      <c r="N128" s="231"/>
      <c r="O128" s="230">
        <v>220449.25</v>
      </c>
      <c r="P128" s="230">
        <v>73483.08</v>
      </c>
      <c r="Q128" s="230">
        <v>146966.16999999998</v>
      </c>
      <c r="R128" s="231"/>
      <c r="S128" s="230">
        <v>770311</v>
      </c>
      <c r="T128" s="230">
        <v>256770.33000000002</v>
      </c>
      <c r="U128" s="230">
        <v>513540.67</v>
      </c>
      <c r="V128" s="232"/>
    </row>
    <row r="129" spans="1:22" x14ac:dyDescent="0.2">
      <c r="A129" s="227">
        <v>2019</v>
      </c>
      <c r="B129" s="227" t="s">
        <v>1471</v>
      </c>
      <c r="C129" s="228" t="s">
        <v>146</v>
      </c>
      <c r="D129" s="229"/>
      <c r="E129" s="229"/>
      <c r="F129" s="229" t="s">
        <v>146</v>
      </c>
      <c r="G129" s="228" t="s">
        <v>1263</v>
      </c>
      <c r="H129" s="230">
        <v>1</v>
      </c>
      <c r="I129" s="230">
        <v>1</v>
      </c>
      <c r="J129" s="231"/>
      <c r="K129" s="230">
        <v>160966.5</v>
      </c>
      <c r="L129" s="230">
        <v>80483.25</v>
      </c>
      <c r="M129" s="230">
        <v>80483.25</v>
      </c>
      <c r="N129" s="231"/>
      <c r="O129" s="230">
        <v>61381.5</v>
      </c>
      <c r="P129" s="230">
        <v>30690.75</v>
      </c>
      <c r="Q129" s="230">
        <v>30690.75</v>
      </c>
      <c r="R129" s="231"/>
      <c r="S129" s="230">
        <v>222348</v>
      </c>
      <c r="T129" s="230">
        <v>111174</v>
      </c>
      <c r="U129" s="230">
        <v>111174</v>
      </c>
      <c r="V129" s="232"/>
    </row>
    <row r="130" spans="1:22" x14ac:dyDescent="0.2">
      <c r="A130" s="227">
        <v>2019</v>
      </c>
      <c r="B130" s="227" t="s">
        <v>1472</v>
      </c>
      <c r="C130" s="228" t="s">
        <v>147</v>
      </c>
      <c r="D130" s="229"/>
      <c r="E130" s="229"/>
      <c r="F130" s="229" t="s">
        <v>147</v>
      </c>
      <c r="G130" s="228" t="s">
        <v>1264</v>
      </c>
      <c r="H130" s="230">
        <v>0</v>
      </c>
      <c r="I130" s="230">
        <v>9</v>
      </c>
      <c r="J130" s="231"/>
      <c r="K130" s="230">
        <v>160969.5</v>
      </c>
      <c r="L130" s="230">
        <v>0</v>
      </c>
      <c r="M130" s="230">
        <v>160969.5</v>
      </c>
      <c r="N130" s="231"/>
      <c r="O130" s="230">
        <v>58977.5</v>
      </c>
      <c r="P130" s="230">
        <v>0</v>
      </c>
      <c r="Q130" s="230">
        <v>58977.5</v>
      </c>
      <c r="R130" s="231"/>
      <c r="S130" s="230">
        <v>219947</v>
      </c>
      <c r="T130" s="230">
        <v>0</v>
      </c>
      <c r="U130" s="230">
        <v>219947</v>
      </c>
      <c r="V130" s="232"/>
    </row>
    <row r="131" spans="1:22" x14ac:dyDescent="0.2">
      <c r="A131" s="227">
        <v>2019</v>
      </c>
      <c r="B131" s="227" t="s">
        <v>1471</v>
      </c>
      <c r="C131" s="228" t="s">
        <v>148</v>
      </c>
      <c r="D131" s="229"/>
      <c r="E131" s="229"/>
      <c r="F131" s="229" t="s">
        <v>148</v>
      </c>
      <c r="G131" s="228" t="s">
        <v>1265</v>
      </c>
      <c r="H131" s="230">
        <v>0</v>
      </c>
      <c r="I131" s="230">
        <v>6</v>
      </c>
      <c r="J131" s="231"/>
      <c r="K131" s="230">
        <v>285021</v>
      </c>
      <c r="L131" s="230">
        <v>0</v>
      </c>
      <c r="M131" s="230">
        <v>285021</v>
      </c>
      <c r="N131" s="231"/>
      <c r="O131" s="230">
        <v>96576</v>
      </c>
      <c r="P131" s="230">
        <v>0</v>
      </c>
      <c r="Q131" s="230">
        <v>96576</v>
      </c>
      <c r="R131" s="231"/>
      <c r="S131" s="230">
        <v>381597</v>
      </c>
      <c r="T131" s="230">
        <v>0</v>
      </c>
      <c r="U131" s="230">
        <v>381597</v>
      </c>
      <c r="V131" s="232"/>
    </row>
    <row r="132" spans="1:22" x14ac:dyDescent="0.2">
      <c r="A132" s="227">
        <v>2019</v>
      </c>
      <c r="B132" s="227" t="s">
        <v>1470</v>
      </c>
      <c r="C132" s="228" t="s">
        <v>149</v>
      </c>
      <c r="D132" s="229"/>
      <c r="E132" s="229"/>
      <c r="F132" s="229" t="s">
        <v>149</v>
      </c>
      <c r="G132" s="228" t="s">
        <v>1266</v>
      </c>
      <c r="H132" s="230">
        <v>0</v>
      </c>
      <c r="I132" s="230">
        <v>7</v>
      </c>
      <c r="J132" s="231"/>
      <c r="K132" s="230">
        <v>123512.25</v>
      </c>
      <c r="L132" s="230">
        <v>0</v>
      </c>
      <c r="M132" s="230">
        <v>123512.25</v>
      </c>
      <c r="N132" s="231"/>
      <c r="O132" s="230">
        <v>43498.75</v>
      </c>
      <c r="P132" s="230">
        <v>0</v>
      </c>
      <c r="Q132" s="230">
        <v>43498.75</v>
      </c>
      <c r="R132" s="231"/>
      <c r="S132" s="230">
        <v>167011</v>
      </c>
      <c r="T132" s="230">
        <v>0</v>
      </c>
      <c r="U132" s="230">
        <v>167011</v>
      </c>
      <c r="V132" s="232"/>
    </row>
    <row r="133" spans="1:22" x14ac:dyDescent="0.2">
      <c r="A133" s="227">
        <v>2019</v>
      </c>
      <c r="B133" s="227" t="s">
        <v>1472</v>
      </c>
      <c r="C133" s="228" t="s">
        <v>152</v>
      </c>
      <c r="D133" s="229" t="s">
        <v>1487</v>
      </c>
      <c r="E133" s="229"/>
      <c r="F133" s="229" t="s">
        <v>152</v>
      </c>
      <c r="G133" s="228" t="s">
        <v>1267</v>
      </c>
      <c r="H133" s="230">
        <v>4</v>
      </c>
      <c r="I133" s="230">
        <v>3</v>
      </c>
      <c r="J133" s="231"/>
      <c r="K133" s="230">
        <v>55203.75</v>
      </c>
      <c r="L133" s="230">
        <v>31545</v>
      </c>
      <c r="M133" s="230">
        <v>23658.75</v>
      </c>
      <c r="N133" s="231"/>
      <c r="O133" s="230">
        <v>21787.25</v>
      </c>
      <c r="P133" s="230">
        <v>12449.86</v>
      </c>
      <c r="Q133" s="230">
        <v>9337.39</v>
      </c>
      <c r="R133" s="231"/>
      <c r="S133" s="230">
        <v>76991</v>
      </c>
      <c r="T133" s="230">
        <v>43994.86</v>
      </c>
      <c r="U133" s="230">
        <v>32996.14</v>
      </c>
      <c r="V133" s="232"/>
    </row>
    <row r="134" spans="1:22" x14ac:dyDescent="0.2">
      <c r="A134" s="227">
        <v>2019</v>
      </c>
      <c r="B134" s="227" t="s">
        <v>1471</v>
      </c>
      <c r="C134" s="228" t="s">
        <v>153</v>
      </c>
      <c r="D134" s="229"/>
      <c r="E134" s="229"/>
      <c r="F134" s="229" t="s">
        <v>153</v>
      </c>
      <c r="G134" s="228" t="s">
        <v>1268</v>
      </c>
      <c r="H134" s="230">
        <v>0</v>
      </c>
      <c r="I134" s="230">
        <v>3</v>
      </c>
      <c r="J134" s="231"/>
      <c r="K134" s="230">
        <v>111518.25</v>
      </c>
      <c r="L134" s="230">
        <v>0</v>
      </c>
      <c r="M134" s="230">
        <v>111518.25</v>
      </c>
      <c r="N134" s="231"/>
      <c r="O134" s="230">
        <v>41134.75</v>
      </c>
      <c r="P134" s="230">
        <v>0</v>
      </c>
      <c r="Q134" s="230">
        <v>41134.75</v>
      </c>
      <c r="R134" s="231"/>
      <c r="S134" s="230">
        <v>152653</v>
      </c>
      <c r="T134" s="230">
        <v>0</v>
      </c>
      <c r="U134" s="230">
        <v>152653</v>
      </c>
      <c r="V134" s="232"/>
    </row>
    <row r="135" spans="1:22" x14ac:dyDescent="0.2">
      <c r="A135" s="227">
        <v>2019</v>
      </c>
      <c r="B135" s="227" t="s">
        <v>1472</v>
      </c>
      <c r="C135" s="228" t="s">
        <v>154</v>
      </c>
      <c r="D135" s="229"/>
      <c r="E135" s="229"/>
      <c r="F135" s="229" t="s">
        <v>154</v>
      </c>
      <c r="G135" s="228" t="s">
        <v>1269</v>
      </c>
      <c r="H135" s="230">
        <v>0</v>
      </c>
      <c r="I135" s="230">
        <v>7</v>
      </c>
      <c r="J135" s="231"/>
      <c r="K135" s="230">
        <v>437722.5</v>
      </c>
      <c r="L135" s="230">
        <v>0</v>
      </c>
      <c r="M135" s="230">
        <v>437722.5</v>
      </c>
      <c r="N135" s="231"/>
      <c r="O135" s="230">
        <v>159898.5</v>
      </c>
      <c r="P135" s="230">
        <v>0</v>
      </c>
      <c r="Q135" s="230">
        <v>159898.5</v>
      </c>
      <c r="R135" s="231"/>
      <c r="S135" s="230">
        <v>597621</v>
      </c>
      <c r="T135" s="230">
        <v>0</v>
      </c>
      <c r="U135" s="230">
        <v>597621</v>
      </c>
      <c r="V135" s="232"/>
    </row>
    <row r="136" spans="1:22" x14ac:dyDescent="0.2">
      <c r="A136" s="227">
        <v>2019</v>
      </c>
      <c r="B136" s="227" t="s">
        <v>1476</v>
      </c>
      <c r="C136" s="228" t="s">
        <v>155</v>
      </c>
      <c r="D136" s="229"/>
      <c r="E136" s="229"/>
      <c r="F136" s="229" t="s">
        <v>155</v>
      </c>
      <c r="G136" s="228" t="s">
        <v>1270</v>
      </c>
      <c r="H136" s="230">
        <v>0</v>
      </c>
      <c r="I136" s="230">
        <v>10</v>
      </c>
      <c r="J136" s="231"/>
      <c r="K136" s="230">
        <v>94215.75</v>
      </c>
      <c r="L136" s="230">
        <v>0</v>
      </c>
      <c r="M136" s="230">
        <v>94215.75</v>
      </c>
      <c r="N136" s="231"/>
      <c r="O136" s="230">
        <v>39678.25</v>
      </c>
      <c r="P136" s="230">
        <v>0</v>
      </c>
      <c r="Q136" s="230">
        <v>39678.25</v>
      </c>
      <c r="R136" s="231"/>
      <c r="S136" s="230">
        <v>133894</v>
      </c>
      <c r="T136" s="230">
        <v>0</v>
      </c>
      <c r="U136" s="230">
        <v>133894</v>
      </c>
      <c r="V136" s="232"/>
    </row>
    <row r="137" spans="1:22" x14ac:dyDescent="0.2">
      <c r="A137" s="227">
        <v>2019</v>
      </c>
      <c r="B137" s="227" t="s">
        <v>1475</v>
      </c>
      <c r="C137" s="228" t="s">
        <v>156</v>
      </c>
      <c r="D137" s="229"/>
      <c r="E137" s="229"/>
      <c r="F137" s="229" t="s">
        <v>156</v>
      </c>
      <c r="G137" s="228" t="s">
        <v>1271</v>
      </c>
      <c r="H137" s="230">
        <v>0</v>
      </c>
      <c r="I137" s="230">
        <v>0</v>
      </c>
      <c r="J137" s="231"/>
      <c r="K137" s="230">
        <v>0</v>
      </c>
      <c r="L137" s="230">
        <v>0</v>
      </c>
      <c r="M137" s="230">
        <v>0</v>
      </c>
      <c r="N137" s="231"/>
      <c r="O137" s="230">
        <v>0</v>
      </c>
      <c r="P137" s="230">
        <v>0</v>
      </c>
      <c r="Q137" s="230">
        <v>0</v>
      </c>
      <c r="R137" s="231"/>
      <c r="S137" s="230">
        <v>0</v>
      </c>
      <c r="T137" s="230">
        <v>0</v>
      </c>
      <c r="U137" s="230">
        <v>0</v>
      </c>
      <c r="V137" s="232"/>
    </row>
    <row r="138" spans="1:22" x14ac:dyDescent="0.2">
      <c r="A138" s="227">
        <v>2019</v>
      </c>
      <c r="B138" s="227" t="s">
        <v>1474</v>
      </c>
      <c r="C138" s="228" t="s">
        <v>157</v>
      </c>
      <c r="D138" s="229"/>
      <c r="E138" s="229"/>
      <c r="F138" s="229" t="s">
        <v>157</v>
      </c>
      <c r="G138" s="228" t="s">
        <v>1272</v>
      </c>
      <c r="H138" s="230">
        <v>2</v>
      </c>
      <c r="I138" s="230">
        <v>5</v>
      </c>
      <c r="J138" s="231"/>
      <c r="K138" s="230">
        <v>208314</v>
      </c>
      <c r="L138" s="230">
        <v>59518.29</v>
      </c>
      <c r="M138" s="230">
        <v>148795.71</v>
      </c>
      <c r="N138" s="231"/>
      <c r="O138" s="230">
        <v>72812</v>
      </c>
      <c r="P138" s="230">
        <v>20803.43</v>
      </c>
      <c r="Q138" s="230">
        <v>52008.57</v>
      </c>
      <c r="R138" s="231"/>
      <c r="S138" s="230">
        <v>281126</v>
      </c>
      <c r="T138" s="230">
        <v>80321.72</v>
      </c>
      <c r="U138" s="230">
        <v>200804.28</v>
      </c>
      <c r="V138" s="232"/>
    </row>
    <row r="139" spans="1:22" x14ac:dyDescent="0.2">
      <c r="A139" s="227">
        <v>2019</v>
      </c>
      <c r="B139" s="227" t="s">
        <v>1477</v>
      </c>
      <c r="C139" s="228" t="s">
        <v>158</v>
      </c>
      <c r="D139" s="229"/>
      <c r="E139" s="229"/>
      <c r="F139" s="229" t="s">
        <v>158</v>
      </c>
      <c r="G139" s="228" t="s">
        <v>1273</v>
      </c>
      <c r="H139" s="230">
        <v>0</v>
      </c>
      <c r="I139" s="230">
        <v>7</v>
      </c>
      <c r="J139" s="231"/>
      <c r="K139" s="230">
        <v>233617.5</v>
      </c>
      <c r="L139" s="230">
        <v>0</v>
      </c>
      <c r="M139" s="230">
        <v>233617.5</v>
      </c>
      <c r="N139" s="231"/>
      <c r="O139" s="230">
        <v>95007.5</v>
      </c>
      <c r="P139" s="230">
        <v>0</v>
      </c>
      <c r="Q139" s="230">
        <v>95007.5</v>
      </c>
      <c r="R139" s="231"/>
      <c r="S139" s="230">
        <v>328625</v>
      </c>
      <c r="T139" s="230">
        <v>0</v>
      </c>
      <c r="U139" s="230">
        <v>328625</v>
      </c>
      <c r="V139" s="232"/>
    </row>
    <row r="140" spans="1:22" x14ac:dyDescent="0.2">
      <c r="A140" s="227">
        <v>2019</v>
      </c>
      <c r="B140" s="227" t="s">
        <v>1474</v>
      </c>
      <c r="C140" s="228" t="s">
        <v>159</v>
      </c>
      <c r="D140" s="229"/>
      <c r="E140" s="229"/>
      <c r="F140" s="229" t="s">
        <v>159</v>
      </c>
      <c r="G140" s="228" t="s">
        <v>1274</v>
      </c>
      <c r="H140" s="230">
        <v>0</v>
      </c>
      <c r="I140" s="230">
        <v>7</v>
      </c>
      <c r="J140" s="231"/>
      <c r="K140" s="230">
        <v>214053.75</v>
      </c>
      <c r="L140" s="230">
        <v>0</v>
      </c>
      <c r="M140" s="230">
        <v>214053.75</v>
      </c>
      <c r="N140" s="231"/>
      <c r="O140" s="230">
        <v>83210.25</v>
      </c>
      <c r="P140" s="230">
        <v>0</v>
      </c>
      <c r="Q140" s="230">
        <v>83210.25</v>
      </c>
      <c r="R140" s="231"/>
      <c r="S140" s="230">
        <v>297264</v>
      </c>
      <c r="T140" s="230">
        <v>0</v>
      </c>
      <c r="U140" s="230">
        <v>297264</v>
      </c>
      <c r="V140" s="232"/>
    </row>
    <row r="141" spans="1:22" x14ac:dyDescent="0.2">
      <c r="A141" s="227">
        <v>2019</v>
      </c>
      <c r="B141" s="227" t="s">
        <v>1477</v>
      </c>
      <c r="C141" s="228" t="s">
        <v>151</v>
      </c>
      <c r="D141" s="229"/>
      <c r="E141" s="229"/>
      <c r="F141" s="229" t="s">
        <v>151</v>
      </c>
      <c r="G141" s="228" t="s">
        <v>5</v>
      </c>
      <c r="H141" s="230">
        <v>0</v>
      </c>
      <c r="I141" s="230">
        <v>8</v>
      </c>
      <c r="J141" s="231"/>
      <c r="K141" s="230">
        <v>114993.75</v>
      </c>
      <c r="L141" s="230">
        <v>0</v>
      </c>
      <c r="M141" s="230">
        <v>114993.75</v>
      </c>
      <c r="N141" s="231"/>
      <c r="O141" s="230">
        <v>39588.25</v>
      </c>
      <c r="P141" s="230">
        <v>0</v>
      </c>
      <c r="Q141" s="230">
        <v>39588.25</v>
      </c>
      <c r="R141" s="231"/>
      <c r="S141" s="230">
        <v>154582</v>
      </c>
      <c r="T141" s="230">
        <v>0</v>
      </c>
      <c r="U141" s="230">
        <v>154582</v>
      </c>
      <c r="V141" s="232"/>
    </row>
    <row r="142" spans="1:22" x14ac:dyDescent="0.2">
      <c r="A142" s="227">
        <v>2019</v>
      </c>
      <c r="B142" s="227" t="s">
        <v>1479</v>
      </c>
      <c r="C142" s="228" t="s">
        <v>160</v>
      </c>
      <c r="D142" s="229"/>
      <c r="E142" s="229"/>
      <c r="F142" s="229" t="s">
        <v>160</v>
      </c>
      <c r="G142" s="228" t="s">
        <v>1275</v>
      </c>
      <c r="H142" s="230">
        <v>3</v>
      </c>
      <c r="I142" s="230">
        <v>3</v>
      </c>
      <c r="J142" s="231"/>
      <c r="K142" s="230">
        <v>294773.25</v>
      </c>
      <c r="L142" s="230">
        <v>147386.63</v>
      </c>
      <c r="M142" s="230">
        <v>147386.62</v>
      </c>
      <c r="N142" s="231"/>
      <c r="O142" s="230">
        <v>104913.75</v>
      </c>
      <c r="P142" s="230">
        <v>52456.88</v>
      </c>
      <c r="Q142" s="230">
        <v>52456.87</v>
      </c>
      <c r="R142" s="231"/>
      <c r="S142" s="230">
        <v>399687</v>
      </c>
      <c r="T142" s="230">
        <v>199843.51</v>
      </c>
      <c r="U142" s="230">
        <v>199843.49</v>
      </c>
      <c r="V142" s="232"/>
    </row>
    <row r="143" spans="1:22" x14ac:dyDescent="0.2">
      <c r="A143" s="227">
        <v>2019</v>
      </c>
      <c r="B143" s="227" t="s">
        <v>1471</v>
      </c>
      <c r="C143" s="228" t="s">
        <v>161</v>
      </c>
      <c r="D143" s="229"/>
      <c r="E143" s="229"/>
      <c r="F143" s="229" t="s">
        <v>161</v>
      </c>
      <c r="G143" s="228" t="s">
        <v>1276</v>
      </c>
      <c r="H143" s="230">
        <v>0</v>
      </c>
      <c r="I143" s="230">
        <v>0</v>
      </c>
      <c r="J143" s="231"/>
      <c r="K143" s="230">
        <v>0</v>
      </c>
      <c r="L143" s="230">
        <v>0</v>
      </c>
      <c r="M143" s="230">
        <v>0</v>
      </c>
      <c r="N143" s="231"/>
      <c r="O143" s="230">
        <v>0</v>
      </c>
      <c r="P143" s="230">
        <v>0</v>
      </c>
      <c r="Q143" s="230">
        <v>0</v>
      </c>
      <c r="R143" s="231"/>
      <c r="S143" s="230">
        <v>0</v>
      </c>
      <c r="T143" s="230">
        <v>0</v>
      </c>
      <c r="U143" s="230">
        <v>0</v>
      </c>
      <c r="V143" s="232"/>
    </row>
    <row r="144" spans="1:22" x14ac:dyDescent="0.2">
      <c r="A144" s="227">
        <v>2019</v>
      </c>
      <c r="B144" s="227" t="s">
        <v>1471</v>
      </c>
      <c r="C144" s="228" t="s">
        <v>162</v>
      </c>
      <c r="D144" s="229"/>
      <c r="E144" s="229"/>
      <c r="F144" s="229" t="s">
        <v>162</v>
      </c>
      <c r="G144" s="228" t="s">
        <v>1277</v>
      </c>
      <c r="H144" s="230">
        <v>0</v>
      </c>
      <c r="I144" s="230">
        <v>2</v>
      </c>
      <c r="J144" s="231"/>
      <c r="K144" s="230">
        <v>65875.5</v>
      </c>
      <c r="L144" s="230">
        <v>0</v>
      </c>
      <c r="M144" s="230">
        <v>65875.5</v>
      </c>
      <c r="N144" s="231"/>
      <c r="O144" s="230">
        <v>22835.5</v>
      </c>
      <c r="P144" s="230">
        <v>0</v>
      </c>
      <c r="Q144" s="230">
        <v>22835.5</v>
      </c>
      <c r="R144" s="231"/>
      <c r="S144" s="230">
        <v>88711</v>
      </c>
      <c r="T144" s="230">
        <v>0</v>
      </c>
      <c r="U144" s="230">
        <v>88711</v>
      </c>
      <c r="V144" s="232"/>
    </row>
    <row r="145" spans="1:22" x14ac:dyDescent="0.2">
      <c r="A145" s="227">
        <v>2019</v>
      </c>
      <c r="B145" s="227" t="s">
        <v>1475</v>
      </c>
      <c r="C145" s="228" t="s">
        <v>163</v>
      </c>
      <c r="D145" s="229"/>
      <c r="E145" s="229"/>
      <c r="F145" s="229" t="s">
        <v>163</v>
      </c>
      <c r="G145" s="228" t="s">
        <v>1278</v>
      </c>
      <c r="H145" s="230">
        <v>0</v>
      </c>
      <c r="I145" s="230">
        <v>5</v>
      </c>
      <c r="J145" s="231"/>
      <c r="K145" s="230">
        <v>337589.25</v>
      </c>
      <c r="L145" s="230">
        <v>0</v>
      </c>
      <c r="M145" s="230">
        <v>337589.25</v>
      </c>
      <c r="N145" s="231"/>
      <c r="O145" s="230">
        <v>123375.75</v>
      </c>
      <c r="P145" s="230">
        <v>0</v>
      </c>
      <c r="Q145" s="230">
        <v>123375.75</v>
      </c>
      <c r="R145" s="231"/>
      <c r="S145" s="230">
        <v>460965</v>
      </c>
      <c r="T145" s="230">
        <v>0</v>
      </c>
      <c r="U145" s="230">
        <v>460965</v>
      </c>
      <c r="V145" s="232"/>
    </row>
    <row r="146" spans="1:22" x14ac:dyDescent="0.2">
      <c r="A146" s="227">
        <v>2019</v>
      </c>
      <c r="B146" s="227" t="s">
        <v>1472</v>
      </c>
      <c r="C146" s="228" t="s">
        <v>170</v>
      </c>
      <c r="D146" s="229"/>
      <c r="E146" s="229"/>
      <c r="F146" s="229" t="s">
        <v>170</v>
      </c>
      <c r="G146" s="228" t="s">
        <v>1279</v>
      </c>
      <c r="H146" s="230">
        <v>0</v>
      </c>
      <c r="I146" s="230">
        <v>9</v>
      </c>
      <c r="J146" s="231"/>
      <c r="K146" s="230">
        <v>287166.75</v>
      </c>
      <c r="L146" s="230">
        <v>0</v>
      </c>
      <c r="M146" s="230">
        <v>287166.75</v>
      </c>
      <c r="N146" s="231"/>
      <c r="O146" s="230">
        <v>106555.25</v>
      </c>
      <c r="P146" s="230">
        <v>0</v>
      </c>
      <c r="Q146" s="230">
        <v>106555.25</v>
      </c>
      <c r="R146" s="231"/>
      <c r="S146" s="230">
        <v>393722</v>
      </c>
      <c r="T146" s="230">
        <v>0</v>
      </c>
      <c r="U146" s="230">
        <v>393722</v>
      </c>
      <c r="V146" s="232"/>
    </row>
    <row r="147" spans="1:22" x14ac:dyDescent="0.2">
      <c r="A147" s="227">
        <v>2019</v>
      </c>
      <c r="B147" s="227" t="s">
        <v>1471</v>
      </c>
      <c r="C147" s="228" t="s">
        <v>164</v>
      </c>
      <c r="D147" s="229"/>
      <c r="E147" s="229"/>
      <c r="F147" s="229" t="s">
        <v>164</v>
      </c>
      <c r="G147" s="228" t="s">
        <v>1280</v>
      </c>
      <c r="H147" s="230">
        <v>0</v>
      </c>
      <c r="I147" s="230">
        <v>7</v>
      </c>
      <c r="J147" s="231"/>
      <c r="K147" s="230">
        <v>448845</v>
      </c>
      <c r="L147" s="230">
        <v>0</v>
      </c>
      <c r="M147" s="230">
        <v>448845</v>
      </c>
      <c r="N147" s="231"/>
      <c r="O147" s="230">
        <v>159374</v>
      </c>
      <c r="P147" s="230">
        <v>0</v>
      </c>
      <c r="Q147" s="230">
        <v>159374</v>
      </c>
      <c r="R147" s="231"/>
      <c r="S147" s="230">
        <v>608219</v>
      </c>
      <c r="T147" s="230">
        <v>0</v>
      </c>
      <c r="U147" s="230">
        <v>608219</v>
      </c>
      <c r="V147" s="232"/>
    </row>
    <row r="148" spans="1:22" x14ac:dyDescent="0.2">
      <c r="A148" s="227">
        <v>2019</v>
      </c>
      <c r="B148" s="227" t="s">
        <v>1470</v>
      </c>
      <c r="C148" s="228" t="s">
        <v>165</v>
      </c>
      <c r="D148" s="229"/>
      <c r="E148" s="229"/>
      <c r="F148" s="229" t="s">
        <v>165</v>
      </c>
      <c r="G148" s="228" t="s">
        <v>1281</v>
      </c>
      <c r="H148" s="230">
        <v>0</v>
      </c>
      <c r="I148" s="230">
        <v>5</v>
      </c>
      <c r="J148" s="231"/>
      <c r="K148" s="230">
        <v>864094.5</v>
      </c>
      <c r="L148" s="230">
        <v>0</v>
      </c>
      <c r="M148" s="230">
        <v>864094.5</v>
      </c>
      <c r="N148" s="231"/>
      <c r="O148" s="230">
        <v>346156.5</v>
      </c>
      <c r="P148" s="230">
        <v>0</v>
      </c>
      <c r="Q148" s="230">
        <v>346156.5</v>
      </c>
      <c r="R148" s="231"/>
      <c r="S148" s="230">
        <v>1210251</v>
      </c>
      <c r="T148" s="230">
        <v>0</v>
      </c>
      <c r="U148" s="230">
        <v>1210251</v>
      </c>
      <c r="V148" s="232"/>
    </row>
    <row r="149" spans="1:22" x14ac:dyDescent="0.2">
      <c r="A149" s="227">
        <v>2019</v>
      </c>
      <c r="B149" s="227" t="s">
        <v>1470</v>
      </c>
      <c r="C149" s="228" t="s">
        <v>166</v>
      </c>
      <c r="D149" s="229"/>
      <c r="E149" s="229"/>
      <c r="F149" s="229" t="s">
        <v>166</v>
      </c>
      <c r="G149" s="228" t="s">
        <v>1282</v>
      </c>
      <c r="H149" s="230">
        <v>0</v>
      </c>
      <c r="I149" s="230">
        <v>0</v>
      </c>
      <c r="J149" s="231"/>
      <c r="K149" s="230">
        <v>0</v>
      </c>
      <c r="L149" s="230">
        <v>0</v>
      </c>
      <c r="M149" s="230">
        <v>0</v>
      </c>
      <c r="N149" s="231"/>
      <c r="O149" s="230">
        <v>0</v>
      </c>
      <c r="P149" s="230">
        <v>0</v>
      </c>
      <c r="Q149" s="230">
        <v>0</v>
      </c>
      <c r="R149" s="231"/>
      <c r="S149" s="230">
        <v>0</v>
      </c>
      <c r="T149" s="230">
        <v>0</v>
      </c>
      <c r="U149" s="230">
        <v>0</v>
      </c>
      <c r="V149" s="232"/>
    </row>
    <row r="150" spans="1:22" x14ac:dyDescent="0.2">
      <c r="A150" s="227">
        <v>2019</v>
      </c>
      <c r="B150" s="227" t="s">
        <v>1477</v>
      </c>
      <c r="C150" s="228" t="s">
        <v>167</v>
      </c>
      <c r="D150" s="229"/>
      <c r="E150" s="229"/>
      <c r="F150" s="229" t="s">
        <v>167</v>
      </c>
      <c r="G150" s="228" t="s">
        <v>1283</v>
      </c>
      <c r="H150" s="230">
        <v>0</v>
      </c>
      <c r="I150" s="230">
        <v>5</v>
      </c>
      <c r="J150" s="231"/>
      <c r="K150" s="230">
        <v>5237400</v>
      </c>
      <c r="L150" s="230">
        <v>0</v>
      </c>
      <c r="M150" s="230">
        <v>5237400</v>
      </c>
      <c r="N150" s="231"/>
      <c r="O150" s="230">
        <v>2107068</v>
      </c>
      <c r="P150" s="230">
        <v>0</v>
      </c>
      <c r="Q150" s="230">
        <v>2107068</v>
      </c>
      <c r="R150" s="231"/>
      <c r="S150" s="230">
        <v>7344468</v>
      </c>
      <c r="T150" s="230">
        <v>0</v>
      </c>
      <c r="U150" s="230">
        <v>7344468</v>
      </c>
      <c r="V150" s="232"/>
    </row>
    <row r="151" spans="1:22" x14ac:dyDescent="0.2">
      <c r="A151" s="227">
        <v>2019</v>
      </c>
      <c r="B151" s="227" t="s">
        <v>1471</v>
      </c>
      <c r="C151" s="228" t="s">
        <v>168</v>
      </c>
      <c r="D151" s="229"/>
      <c r="E151" s="229"/>
      <c r="F151" s="229" t="s">
        <v>168</v>
      </c>
      <c r="G151" s="228" t="s">
        <v>1284</v>
      </c>
      <c r="H151" s="230">
        <v>0</v>
      </c>
      <c r="I151" s="230">
        <v>7</v>
      </c>
      <c r="J151" s="231"/>
      <c r="K151" s="230">
        <v>343583.25</v>
      </c>
      <c r="L151" s="230">
        <v>0</v>
      </c>
      <c r="M151" s="230">
        <v>343583.25</v>
      </c>
      <c r="N151" s="231"/>
      <c r="O151" s="230">
        <v>132572.75</v>
      </c>
      <c r="P151" s="230">
        <v>0</v>
      </c>
      <c r="Q151" s="230">
        <v>132572.75</v>
      </c>
      <c r="R151" s="231"/>
      <c r="S151" s="230">
        <v>476156</v>
      </c>
      <c r="T151" s="230">
        <v>0</v>
      </c>
      <c r="U151" s="230">
        <v>476156</v>
      </c>
      <c r="V151" s="232"/>
    </row>
    <row r="152" spans="1:22" x14ac:dyDescent="0.2">
      <c r="A152" s="227">
        <v>2019</v>
      </c>
      <c r="B152" s="227" t="s">
        <v>1477</v>
      </c>
      <c r="C152" s="228" t="s">
        <v>169</v>
      </c>
      <c r="D152" s="229"/>
      <c r="E152" s="229"/>
      <c r="F152" s="229" t="s">
        <v>169</v>
      </c>
      <c r="G152" s="228" t="s">
        <v>1285</v>
      </c>
      <c r="H152" s="230">
        <v>6</v>
      </c>
      <c r="I152" s="230">
        <v>8</v>
      </c>
      <c r="J152" s="231"/>
      <c r="K152" s="230">
        <v>334761.75</v>
      </c>
      <c r="L152" s="230">
        <v>143469.32</v>
      </c>
      <c r="M152" s="230">
        <v>191292.43</v>
      </c>
      <c r="N152" s="231"/>
      <c r="O152" s="230">
        <v>123358.25</v>
      </c>
      <c r="P152" s="230">
        <v>52867.82</v>
      </c>
      <c r="Q152" s="230">
        <v>70490.429999999993</v>
      </c>
      <c r="R152" s="231"/>
      <c r="S152" s="230">
        <v>458120</v>
      </c>
      <c r="T152" s="230">
        <v>196337.14</v>
      </c>
      <c r="U152" s="230">
        <v>261782.86</v>
      </c>
      <c r="V152" s="232"/>
    </row>
    <row r="153" spans="1:22" x14ac:dyDescent="0.2">
      <c r="A153" s="227">
        <v>2019</v>
      </c>
      <c r="B153" s="227" t="s">
        <v>1471</v>
      </c>
      <c r="C153" s="228" t="s">
        <v>171</v>
      </c>
      <c r="D153" s="229"/>
      <c r="E153" s="229"/>
      <c r="F153" s="229" t="s">
        <v>171</v>
      </c>
      <c r="G153" s="228" t="s">
        <v>1286</v>
      </c>
      <c r="H153" s="230">
        <v>0</v>
      </c>
      <c r="I153" s="230">
        <v>7</v>
      </c>
      <c r="J153" s="231"/>
      <c r="K153" s="230">
        <v>154459.5</v>
      </c>
      <c r="L153" s="230">
        <v>0</v>
      </c>
      <c r="M153" s="230">
        <v>154459.5</v>
      </c>
      <c r="N153" s="231"/>
      <c r="O153" s="230">
        <v>56395.5</v>
      </c>
      <c r="P153" s="230">
        <v>0</v>
      </c>
      <c r="Q153" s="230">
        <v>56395.5</v>
      </c>
      <c r="R153" s="231"/>
      <c r="S153" s="230">
        <v>210855</v>
      </c>
      <c r="T153" s="230">
        <v>0</v>
      </c>
      <c r="U153" s="230">
        <v>210855</v>
      </c>
      <c r="V153" s="232"/>
    </row>
    <row r="154" spans="1:22" x14ac:dyDescent="0.2">
      <c r="A154" s="227">
        <v>2019</v>
      </c>
      <c r="B154" s="227" t="s">
        <v>1471</v>
      </c>
      <c r="C154" s="228" t="s">
        <v>173</v>
      </c>
      <c r="D154" s="229"/>
      <c r="E154" s="229"/>
      <c r="F154" s="229" t="s">
        <v>173</v>
      </c>
      <c r="G154" s="228" t="s">
        <v>1287</v>
      </c>
      <c r="H154" s="230">
        <v>0</v>
      </c>
      <c r="I154" s="230">
        <v>0</v>
      </c>
      <c r="J154" s="231"/>
      <c r="K154" s="230">
        <v>0</v>
      </c>
      <c r="L154" s="230">
        <v>0</v>
      </c>
      <c r="M154" s="230">
        <v>0</v>
      </c>
      <c r="N154" s="231"/>
      <c r="O154" s="230">
        <v>0</v>
      </c>
      <c r="P154" s="230">
        <v>0</v>
      </c>
      <c r="Q154" s="230">
        <v>0</v>
      </c>
      <c r="R154" s="231"/>
      <c r="S154" s="230">
        <v>0</v>
      </c>
      <c r="T154" s="230">
        <v>0</v>
      </c>
      <c r="U154" s="230">
        <v>0</v>
      </c>
      <c r="V154" s="232"/>
    </row>
    <row r="155" spans="1:22" x14ac:dyDescent="0.2">
      <c r="A155" s="227">
        <v>2019</v>
      </c>
      <c r="B155" s="227" t="s">
        <v>1470</v>
      </c>
      <c r="C155" s="228" t="s">
        <v>174</v>
      </c>
      <c r="D155" s="229"/>
      <c r="E155" s="229"/>
      <c r="F155" s="229" t="s">
        <v>174</v>
      </c>
      <c r="G155" s="228" t="s">
        <v>1288</v>
      </c>
      <c r="H155" s="230">
        <v>0</v>
      </c>
      <c r="I155" s="230">
        <v>0</v>
      </c>
      <c r="J155" s="231"/>
      <c r="K155" s="230">
        <v>0</v>
      </c>
      <c r="L155" s="230">
        <v>0</v>
      </c>
      <c r="M155" s="230">
        <v>0</v>
      </c>
      <c r="N155" s="231"/>
      <c r="O155" s="230">
        <v>0</v>
      </c>
      <c r="P155" s="230">
        <v>0</v>
      </c>
      <c r="Q155" s="230">
        <v>0</v>
      </c>
      <c r="R155" s="231"/>
      <c r="S155" s="230">
        <v>0</v>
      </c>
      <c r="T155" s="230">
        <v>0</v>
      </c>
      <c r="U155" s="230">
        <v>0</v>
      </c>
      <c r="V155" s="232"/>
    </row>
    <row r="156" spans="1:22" x14ac:dyDescent="0.2">
      <c r="A156" s="227">
        <v>2019</v>
      </c>
      <c r="B156" s="227" t="s">
        <v>1476</v>
      </c>
      <c r="C156" s="228" t="s">
        <v>175</v>
      </c>
      <c r="D156" s="229"/>
      <c r="E156" s="229"/>
      <c r="F156" s="229" t="s">
        <v>175</v>
      </c>
      <c r="G156" s="228" t="s">
        <v>1289</v>
      </c>
      <c r="H156" s="230">
        <v>0</v>
      </c>
      <c r="I156" s="230">
        <v>0</v>
      </c>
      <c r="J156" s="231"/>
      <c r="K156" s="230">
        <v>0</v>
      </c>
      <c r="L156" s="230">
        <v>0</v>
      </c>
      <c r="M156" s="230">
        <v>0</v>
      </c>
      <c r="N156" s="231"/>
      <c r="O156" s="230">
        <v>0</v>
      </c>
      <c r="P156" s="230">
        <v>0</v>
      </c>
      <c r="Q156" s="230">
        <v>0</v>
      </c>
      <c r="R156" s="231"/>
      <c r="S156" s="230">
        <v>0</v>
      </c>
      <c r="T156" s="230">
        <v>0</v>
      </c>
      <c r="U156" s="230">
        <v>0</v>
      </c>
      <c r="V156" s="232"/>
    </row>
    <row r="157" spans="1:22" x14ac:dyDescent="0.2">
      <c r="A157" s="227">
        <v>2019</v>
      </c>
      <c r="B157" s="227" t="s">
        <v>1476</v>
      </c>
      <c r="C157" s="228" t="s">
        <v>176</v>
      </c>
      <c r="D157" s="229"/>
      <c r="E157" s="229"/>
      <c r="F157" s="229" t="s">
        <v>176</v>
      </c>
      <c r="G157" s="228" t="s">
        <v>1290</v>
      </c>
      <c r="H157" s="230">
        <v>0</v>
      </c>
      <c r="I157" s="230">
        <v>1</v>
      </c>
      <c r="J157" s="231"/>
      <c r="K157" s="230">
        <v>14832.75</v>
      </c>
      <c r="L157" s="230">
        <v>0</v>
      </c>
      <c r="M157" s="230">
        <v>14832.75</v>
      </c>
      <c r="N157" s="231"/>
      <c r="O157" s="230">
        <v>4944.25</v>
      </c>
      <c r="P157" s="230">
        <v>0</v>
      </c>
      <c r="Q157" s="230">
        <v>4944.25</v>
      </c>
      <c r="R157" s="231"/>
      <c r="S157" s="230">
        <v>19777</v>
      </c>
      <c r="T157" s="230">
        <v>0</v>
      </c>
      <c r="U157" s="230">
        <v>19777</v>
      </c>
      <c r="V157" s="232"/>
    </row>
    <row r="158" spans="1:22" x14ac:dyDescent="0.2">
      <c r="A158" s="227">
        <v>2019</v>
      </c>
      <c r="B158" s="227" t="s">
        <v>1474</v>
      </c>
      <c r="C158" s="228" t="s">
        <v>177</v>
      </c>
      <c r="D158" s="229"/>
      <c r="E158" s="229"/>
      <c r="F158" s="229" t="s">
        <v>177</v>
      </c>
      <c r="G158" s="228" t="s">
        <v>1291</v>
      </c>
      <c r="H158" s="230">
        <v>3</v>
      </c>
      <c r="I158" s="230">
        <v>1</v>
      </c>
      <c r="J158" s="231"/>
      <c r="K158" s="230">
        <v>77021.25</v>
      </c>
      <c r="L158" s="230">
        <v>57765.94</v>
      </c>
      <c r="M158" s="230">
        <v>19255.309999999998</v>
      </c>
      <c r="N158" s="231"/>
      <c r="O158" s="230">
        <v>27135.75</v>
      </c>
      <c r="P158" s="230">
        <v>20351.810000000001</v>
      </c>
      <c r="Q158" s="230">
        <v>6783.9399999999987</v>
      </c>
      <c r="R158" s="231"/>
      <c r="S158" s="230">
        <v>104157</v>
      </c>
      <c r="T158" s="230">
        <v>78117.75</v>
      </c>
      <c r="U158" s="230">
        <v>26039.249999999996</v>
      </c>
      <c r="V158" s="232"/>
    </row>
    <row r="159" spans="1:22" x14ac:dyDescent="0.2">
      <c r="A159" s="227">
        <v>2019</v>
      </c>
      <c r="B159" s="227" t="s">
        <v>1470</v>
      </c>
      <c r="C159" s="228" t="s">
        <v>178</v>
      </c>
      <c r="D159" s="229"/>
      <c r="E159" s="229"/>
      <c r="F159" s="229" t="s">
        <v>178</v>
      </c>
      <c r="G159" s="228" t="s">
        <v>1292</v>
      </c>
      <c r="H159" s="230">
        <v>0</v>
      </c>
      <c r="I159" s="230">
        <v>6</v>
      </c>
      <c r="J159" s="231"/>
      <c r="K159" s="230">
        <v>439965</v>
      </c>
      <c r="L159" s="230">
        <v>0</v>
      </c>
      <c r="M159" s="230">
        <v>439965</v>
      </c>
      <c r="N159" s="231"/>
      <c r="O159" s="230">
        <v>153468</v>
      </c>
      <c r="P159" s="230">
        <v>0</v>
      </c>
      <c r="Q159" s="230">
        <v>153468</v>
      </c>
      <c r="R159" s="231"/>
      <c r="S159" s="230">
        <v>593433</v>
      </c>
      <c r="T159" s="230">
        <v>0</v>
      </c>
      <c r="U159" s="230">
        <v>593433</v>
      </c>
      <c r="V159" s="232"/>
    </row>
    <row r="160" spans="1:22" x14ac:dyDescent="0.2">
      <c r="A160" s="227">
        <v>2019</v>
      </c>
      <c r="B160" s="227" t="s">
        <v>1471</v>
      </c>
      <c r="C160" s="228" t="s">
        <v>179</v>
      </c>
      <c r="D160" s="229"/>
      <c r="E160" s="229"/>
      <c r="F160" s="229" t="s">
        <v>179</v>
      </c>
      <c r="G160" s="228" t="s">
        <v>1293</v>
      </c>
      <c r="H160" s="230">
        <v>0</v>
      </c>
      <c r="I160" s="230">
        <v>10</v>
      </c>
      <c r="J160" s="231"/>
      <c r="K160" s="230">
        <v>234737.25</v>
      </c>
      <c r="L160" s="230">
        <v>0</v>
      </c>
      <c r="M160" s="230">
        <v>234737.25</v>
      </c>
      <c r="N160" s="231"/>
      <c r="O160" s="230">
        <v>88449.75</v>
      </c>
      <c r="P160" s="230">
        <v>0</v>
      </c>
      <c r="Q160" s="230">
        <v>88449.75</v>
      </c>
      <c r="R160" s="231"/>
      <c r="S160" s="230">
        <v>323187</v>
      </c>
      <c r="T160" s="230">
        <v>0</v>
      </c>
      <c r="U160" s="230">
        <v>323187</v>
      </c>
      <c r="V160" s="232"/>
    </row>
    <row r="161" spans="1:22" x14ac:dyDescent="0.2">
      <c r="A161" s="227">
        <v>2019</v>
      </c>
      <c r="B161" s="227" t="s">
        <v>1472</v>
      </c>
      <c r="C161" s="228" t="s">
        <v>180</v>
      </c>
      <c r="D161" s="229"/>
      <c r="E161" s="229"/>
      <c r="F161" s="229" t="s">
        <v>180</v>
      </c>
      <c r="G161" s="228" t="s">
        <v>1294</v>
      </c>
      <c r="H161" s="230">
        <v>2</v>
      </c>
      <c r="I161" s="230">
        <v>6</v>
      </c>
      <c r="J161" s="231"/>
      <c r="K161" s="230">
        <v>64562.25</v>
      </c>
      <c r="L161" s="230">
        <v>16140.56</v>
      </c>
      <c r="M161" s="230">
        <v>48421.69</v>
      </c>
      <c r="N161" s="231"/>
      <c r="O161" s="230">
        <v>23999.75</v>
      </c>
      <c r="P161" s="230">
        <v>5999.94</v>
      </c>
      <c r="Q161" s="230">
        <v>17999.810000000001</v>
      </c>
      <c r="R161" s="231"/>
      <c r="S161" s="230">
        <v>88562</v>
      </c>
      <c r="T161" s="230">
        <v>22140.5</v>
      </c>
      <c r="U161" s="230">
        <v>66421.5</v>
      </c>
      <c r="V161" s="232"/>
    </row>
    <row r="162" spans="1:22" x14ac:dyDescent="0.2">
      <c r="A162" s="227">
        <v>2019</v>
      </c>
      <c r="B162" s="227" t="s">
        <v>1475</v>
      </c>
      <c r="C162" s="228" t="s">
        <v>181</v>
      </c>
      <c r="D162" s="229"/>
      <c r="E162" s="229"/>
      <c r="F162" s="229" t="s">
        <v>181</v>
      </c>
      <c r="G162" s="228" t="s">
        <v>1295</v>
      </c>
      <c r="H162" s="230">
        <v>5</v>
      </c>
      <c r="I162" s="230">
        <v>4</v>
      </c>
      <c r="J162" s="231"/>
      <c r="K162" s="230">
        <v>100665.75</v>
      </c>
      <c r="L162" s="230">
        <v>55925.42</v>
      </c>
      <c r="M162" s="230">
        <v>44740.33</v>
      </c>
      <c r="N162" s="231"/>
      <c r="O162" s="230">
        <v>36318.25</v>
      </c>
      <c r="P162" s="230">
        <v>20176.810000000001</v>
      </c>
      <c r="Q162" s="230">
        <v>16141.439999999999</v>
      </c>
      <c r="R162" s="231"/>
      <c r="S162" s="230">
        <v>136984</v>
      </c>
      <c r="T162" s="230">
        <v>76102.23</v>
      </c>
      <c r="U162" s="230">
        <v>60881.770000000004</v>
      </c>
      <c r="V162" s="232"/>
    </row>
    <row r="163" spans="1:22" x14ac:dyDescent="0.2">
      <c r="A163" s="227">
        <v>2019</v>
      </c>
      <c r="B163" s="227" t="s">
        <v>1474</v>
      </c>
      <c r="C163" s="228" t="s">
        <v>182</v>
      </c>
      <c r="D163" s="229"/>
      <c r="E163" s="229"/>
      <c r="F163" s="229" t="s">
        <v>182</v>
      </c>
      <c r="G163" s="228" t="s">
        <v>1296</v>
      </c>
      <c r="H163" s="230">
        <v>0</v>
      </c>
      <c r="I163" s="230">
        <v>7</v>
      </c>
      <c r="J163" s="231"/>
      <c r="K163" s="230">
        <v>192441</v>
      </c>
      <c r="L163" s="230">
        <v>0</v>
      </c>
      <c r="M163" s="230">
        <v>192441</v>
      </c>
      <c r="N163" s="231"/>
      <c r="O163" s="230">
        <v>75082</v>
      </c>
      <c r="P163" s="230">
        <v>0</v>
      </c>
      <c r="Q163" s="230">
        <v>75082</v>
      </c>
      <c r="R163" s="231"/>
      <c r="S163" s="230">
        <v>267523</v>
      </c>
      <c r="T163" s="230">
        <v>0</v>
      </c>
      <c r="U163" s="230">
        <v>267523</v>
      </c>
      <c r="V163" s="232"/>
    </row>
    <row r="164" spans="1:22" x14ac:dyDescent="0.2">
      <c r="A164" s="227">
        <v>2019</v>
      </c>
      <c r="B164" s="227" t="s">
        <v>1474</v>
      </c>
      <c r="C164" s="228" t="s">
        <v>184</v>
      </c>
      <c r="D164" s="229"/>
      <c r="E164" s="229"/>
      <c r="F164" s="229" t="s">
        <v>184</v>
      </c>
      <c r="G164" s="228" t="s">
        <v>1297</v>
      </c>
      <c r="H164" s="230">
        <v>0</v>
      </c>
      <c r="I164" s="230">
        <v>0</v>
      </c>
      <c r="J164" s="231"/>
      <c r="K164" s="230">
        <v>0</v>
      </c>
      <c r="L164" s="230">
        <v>0</v>
      </c>
      <c r="M164" s="230">
        <v>0</v>
      </c>
      <c r="N164" s="231"/>
      <c r="O164" s="230">
        <v>0</v>
      </c>
      <c r="P164" s="230">
        <v>0</v>
      </c>
      <c r="Q164" s="230">
        <v>0</v>
      </c>
      <c r="R164" s="231"/>
      <c r="S164" s="230">
        <v>0</v>
      </c>
      <c r="T164" s="230">
        <v>0</v>
      </c>
      <c r="U164" s="230">
        <v>0</v>
      </c>
      <c r="V164" s="232"/>
    </row>
    <row r="165" spans="1:22" x14ac:dyDescent="0.2">
      <c r="A165" s="227">
        <v>2019</v>
      </c>
      <c r="B165" s="227" t="s">
        <v>1472</v>
      </c>
      <c r="C165" s="228" t="s">
        <v>185</v>
      </c>
      <c r="D165" s="229"/>
      <c r="E165" s="229"/>
      <c r="F165" s="229" t="s">
        <v>185</v>
      </c>
      <c r="G165" s="228" t="s">
        <v>1298</v>
      </c>
      <c r="H165" s="230">
        <v>1</v>
      </c>
      <c r="I165" s="230">
        <v>5</v>
      </c>
      <c r="J165" s="231"/>
      <c r="K165" s="230">
        <v>80571</v>
      </c>
      <c r="L165" s="230">
        <v>13428.5</v>
      </c>
      <c r="M165" s="230">
        <v>67142.5</v>
      </c>
      <c r="N165" s="231"/>
      <c r="O165" s="230">
        <v>31027</v>
      </c>
      <c r="P165" s="230">
        <v>5171.17</v>
      </c>
      <c r="Q165" s="230">
        <v>25855.83</v>
      </c>
      <c r="R165" s="231"/>
      <c r="S165" s="230">
        <v>111598</v>
      </c>
      <c r="T165" s="230">
        <v>18599.669999999998</v>
      </c>
      <c r="U165" s="230">
        <v>92998.33</v>
      </c>
      <c r="V165" s="232"/>
    </row>
    <row r="166" spans="1:22" x14ac:dyDescent="0.2">
      <c r="A166" s="227">
        <v>2019</v>
      </c>
      <c r="B166" s="227" t="s">
        <v>1472</v>
      </c>
      <c r="C166" s="228" t="s">
        <v>186</v>
      </c>
      <c r="D166" s="229"/>
      <c r="E166" s="229"/>
      <c r="F166" s="229" t="s">
        <v>186</v>
      </c>
      <c r="G166" s="228" t="s">
        <v>1299</v>
      </c>
      <c r="H166" s="230">
        <v>0</v>
      </c>
      <c r="I166" s="230">
        <v>6</v>
      </c>
      <c r="J166" s="231"/>
      <c r="K166" s="230">
        <v>519560.25</v>
      </c>
      <c r="L166" s="230">
        <v>0</v>
      </c>
      <c r="M166" s="230">
        <v>519560.25</v>
      </c>
      <c r="N166" s="231"/>
      <c r="O166" s="230">
        <v>199825.75</v>
      </c>
      <c r="P166" s="230">
        <v>0</v>
      </c>
      <c r="Q166" s="230">
        <v>199825.75</v>
      </c>
      <c r="R166" s="231"/>
      <c r="S166" s="230">
        <v>719386</v>
      </c>
      <c r="T166" s="230">
        <v>0</v>
      </c>
      <c r="U166" s="230">
        <v>719386</v>
      </c>
      <c r="V166" s="232"/>
    </row>
    <row r="167" spans="1:22" x14ac:dyDescent="0.2">
      <c r="A167" s="227">
        <v>2019</v>
      </c>
      <c r="B167" s="227" t="s">
        <v>1477</v>
      </c>
      <c r="C167" s="228" t="s">
        <v>188</v>
      </c>
      <c r="D167" s="229"/>
      <c r="E167" s="229"/>
      <c r="F167" s="229" t="s">
        <v>188</v>
      </c>
      <c r="G167" s="228" t="s">
        <v>1300</v>
      </c>
      <c r="H167" s="230">
        <v>0</v>
      </c>
      <c r="I167" s="230">
        <v>0</v>
      </c>
      <c r="J167" s="231"/>
      <c r="K167" s="230">
        <v>0</v>
      </c>
      <c r="L167" s="230">
        <v>0</v>
      </c>
      <c r="M167" s="230">
        <v>0</v>
      </c>
      <c r="N167" s="231"/>
      <c r="O167" s="230">
        <v>0</v>
      </c>
      <c r="P167" s="230">
        <v>0</v>
      </c>
      <c r="Q167" s="230">
        <v>0</v>
      </c>
      <c r="R167" s="231"/>
      <c r="S167" s="230">
        <v>0</v>
      </c>
      <c r="T167" s="230">
        <v>0</v>
      </c>
      <c r="U167" s="230">
        <v>0</v>
      </c>
      <c r="V167" s="232"/>
    </row>
    <row r="168" spans="1:22" x14ac:dyDescent="0.2">
      <c r="A168" s="227">
        <v>2019</v>
      </c>
      <c r="B168" s="227" t="s">
        <v>1477</v>
      </c>
      <c r="C168" s="228" t="s">
        <v>189</v>
      </c>
      <c r="D168" s="229"/>
      <c r="E168" s="229"/>
      <c r="F168" s="229" t="s">
        <v>189</v>
      </c>
      <c r="G168" s="228" t="s">
        <v>1301</v>
      </c>
      <c r="H168" s="230">
        <v>0</v>
      </c>
      <c r="I168" s="230">
        <v>1</v>
      </c>
      <c r="J168" s="231"/>
      <c r="K168" s="230">
        <v>28962</v>
      </c>
      <c r="L168" s="230">
        <v>0</v>
      </c>
      <c r="M168" s="230">
        <v>28962</v>
      </c>
      <c r="N168" s="231"/>
      <c r="O168" s="230">
        <v>10296</v>
      </c>
      <c r="P168" s="230">
        <v>0</v>
      </c>
      <c r="Q168" s="230">
        <v>10296</v>
      </c>
      <c r="R168" s="231"/>
      <c r="S168" s="230">
        <v>39258</v>
      </c>
      <c r="T168" s="230">
        <v>0</v>
      </c>
      <c r="U168" s="230">
        <v>39258</v>
      </c>
      <c r="V168" s="232"/>
    </row>
    <row r="169" spans="1:22" x14ac:dyDescent="0.2">
      <c r="A169" s="227">
        <v>2019</v>
      </c>
      <c r="B169" s="227" t="s">
        <v>1472</v>
      </c>
      <c r="C169" s="228" t="s">
        <v>190</v>
      </c>
      <c r="D169" s="229"/>
      <c r="E169" s="229"/>
      <c r="F169" s="229" t="s">
        <v>190</v>
      </c>
      <c r="G169" s="228" t="s">
        <v>1302</v>
      </c>
      <c r="H169" s="230">
        <v>0</v>
      </c>
      <c r="I169" s="230">
        <v>7</v>
      </c>
      <c r="J169" s="231"/>
      <c r="K169" s="230">
        <v>114132</v>
      </c>
      <c r="L169" s="230">
        <v>0</v>
      </c>
      <c r="M169" s="230">
        <v>114132</v>
      </c>
      <c r="N169" s="231"/>
      <c r="O169" s="230">
        <v>42231</v>
      </c>
      <c r="P169" s="230">
        <v>0</v>
      </c>
      <c r="Q169" s="230">
        <v>42231</v>
      </c>
      <c r="R169" s="231"/>
      <c r="S169" s="230">
        <v>156363</v>
      </c>
      <c r="T169" s="230">
        <v>0</v>
      </c>
      <c r="U169" s="230">
        <v>156363</v>
      </c>
      <c r="V169" s="232"/>
    </row>
    <row r="170" spans="1:22" x14ac:dyDescent="0.2">
      <c r="A170" s="227">
        <v>2019</v>
      </c>
      <c r="B170" s="227" t="s">
        <v>1477</v>
      </c>
      <c r="C170" s="228" t="s">
        <v>191</v>
      </c>
      <c r="D170" s="229"/>
      <c r="E170" s="229"/>
      <c r="F170" s="229" t="s">
        <v>191</v>
      </c>
      <c r="G170" s="228" t="s">
        <v>1303</v>
      </c>
      <c r="H170" s="230">
        <v>0</v>
      </c>
      <c r="I170" s="230">
        <v>7</v>
      </c>
      <c r="J170" s="231"/>
      <c r="K170" s="230">
        <v>164754</v>
      </c>
      <c r="L170" s="230">
        <v>0</v>
      </c>
      <c r="M170" s="230">
        <v>164754</v>
      </c>
      <c r="N170" s="231"/>
      <c r="O170" s="230">
        <v>56280</v>
      </c>
      <c r="P170" s="230">
        <v>0</v>
      </c>
      <c r="Q170" s="230">
        <v>56280</v>
      </c>
      <c r="R170" s="231"/>
      <c r="S170" s="230">
        <v>221034</v>
      </c>
      <c r="T170" s="230">
        <v>0</v>
      </c>
      <c r="U170" s="230">
        <v>221034</v>
      </c>
      <c r="V170" s="232"/>
    </row>
    <row r="171" spans="1:22" x14ac:dyDescent="0.2">
      <c r="A171" s="227">
        <v>2019</v>
      </c>
      <c r="B171" s="227" t="s">
        <v>1480</v>
      </c>
      <c r="C171" s="228" t="s">
        <v>192</v>
      </c>
      <c r="D171" s="229"/>
      <c r="E171" s="229"/>
      <c r="F171" s="229" t="s">
        <v>192</v>
      </c>
      <c r="G171" s="228" t="s">
        <v>1304</v>
      </c>
      <c r="H171" s="230">
        <v>0</v>
      </c>
      <c r="I171" s="230">
        <v>9</v>
      </c>
      <c r="J171" s="231"/>
      <c r="K171" s="230">
        <v>286017</v>
      </c>
      <c r="L171" s="230">
        <v>0</v>
      </c>
      <c r="M171" s="230">
        <v>286017</v>
      </c>
      <c r="N171" s="231"/>
      <c r="O171" s="230">
        <v>95261</v>
      </c>
      <c r="P171" s="230">
        <v>0</v>
      </c>
      <c r="Q171" s="230">
        <v>95261</v>
      </c>
      <c r="R171" s="231"/>
      <c r="S171" s="230">
        <v>381278</v>
      </c>
      <c r="T171" s="230">
        <v>0</v>
      </c>
      <c r="U171" s="230">
        <v>381278</v>
      </c>
      <c r="V171" s="232"/>
    </row>
    <row r="172" spans="1:22" x14ac:dyDescent="0.2">
      <c r="A172" s="227">
        <v>2019</v>
      </c>
      <c r="B172" s="227" t="s">
        <v>1475</v>
      </c>
      <c r="C172" s="228" t="s">
        <v>193</v>
      </c>
      <c r="D172" s="229"/>
      <c r="E172" s="229"/>
      <c r="F172" s="229" t="s">
        <v>193</v>
      </c>
      <c r="G172" s="228" t="s">
        <v>1305</v>
      </c>
      <c r="H172" s="230">
        <v>0</v>
      </c>
      <c r="I172" s="230">
        <v>13</v>
      </c>
      <c r="J172" s="231"/>
      <c r="K172" s="230">
        <v>105062.25</v>
      </c>
      <c r="L172" s="230">
        <v>0</v>
      </c>
      <c r="M172" s="230">
        <v>105062.25</v>
      </c>
      <c r="N172" s="231"/>
      <c r="O172" s="230">
        <v>36629.75</v>
      </c>
      <c r="P172" s="230">
        <v>0</v>
      </c>
      <c r="Q172" s="230">
        <v>36629.75</v>
      </c>
      <c r="R172" s="231"/>
      <c r="S172" s="230">
        <v>141692</v>
      </c>
      <c r="T172" s="230">
        <v>0</v>
      </c>
      <c r="U172" s="230">
        <v>141692</v>
      </c>
      <c r="V172" s="232"/>
    </row>
    <row r="173" spans="1:22" x14ac:dyDescent="0.2">
      <c r="A173" s="227">
        <v>2019</v>
      </c>
      <c r="B173" s="227" t="s">
        <v>1470</v>
      </c>
      <c r="C173" s="228" t="s">
        <v>194</v>
      </c>
      <c r="D173" s="229"/>
      <c r="E173" s="229"/>
      <c r="F173" s="229" t="s">
        <v>194</v>
      </c>
      <c r="G173" s="228" t="s">
        <v>1306</v>
      </c>
      <c r="H173" s="230">
        <v>2</v>
      </c>
      <c r="I173" s="230">
        <v>6</v>
      </c>
      <c r="J173" s="231"/>
      <c r="K173" s="230">
        <v>208436.25</v>
      </c>
      <c r="L173" s="230">
        <v>52109.06</v>
      </c>
      <c r="M173" s="230">
        <v>156327.19</v>
      </c>
      <c r="N173" s="231"/>
      <c r="O173" s="230">
        <v>70738.75</v>
      </c>
      <c r="P173" s="230">
        <v>17684.689999999999</v>
      </c>
      <c r="Q173" s="230">
        <v>53054.06</v>
      </c>
      <c r="R173" s="231"/>
      <c r="S173" s="230">
        <v>279175</v>
      </c>
      <c r="T173" s="230">
        <v>69793.75</v>
      </c>
      <c r="U173" s="230">
        <v>209381.25</v>
      </c>
      <c r="V173" s="232"/>
    </row>
    <row r="174" spans="1:22" x14ac:dyDescent="0.2">
      <c r="A174" s="227">
        <v>2019</v>
      </c>
      <c r="B174" s="227" t="s">
        <v>1470</v>
      </c>
      <c r="C174" s="228" t="s">
        <v>195</v>
      </c>
      <c r="D174" s="229"/>
      <c r="E174" s="229"/>
      <c r="F174" s="229" t="s">
        <v>195</v>
      </c>
      <c r="G174" s="228" t="s">
        <v>1307</v>
      </c>
      <c r="H174" s="230">
        <v>0</v>
      </c>
      <c r="I174" s="230">
        <v>6</v>
      </c>
      <c r="J174" s="231"/>
      <c r="K174" s="230">
        <v>183571.5</v>
      </c>
      <c r="L174" s="230">
        <v>0</v>
      </c>
      <c r="M174" s="230">
        <v>183571.5</v>
      </c>
      <c r="N174" s="231"/>
      <c r="O174" s="230">
        <v>69260.5</v>
      </c>
      <c r="P174" s="230">
        <v>0</v>
      </c>
      <c r="Q174" s="230">
        <v>69260.5</v>
      </c>
      <c r="R174" s="231"/>
      <c r="S174" s="230">
        <v>252832</v>
      </c>
      <c r="T174" s="230">
        <v>0</v>
      </c>
      <c r="U174" s="230">
        <v>252832</v>
      </c>
      <c r="V174" s="232"/>
    </row>
    <row r="175" spans="1:22" x14ac:dyDescent="0.2">
      <c r="A175" s="227">
        <v>2019</v>
      </c>
      <c r="B175" s="227" t="s">
        <v>1475</v>
      </c>
      <c r="C175" s="228" t="s">
        <v>197</v>
      </c>
      <c r="D175" s="229"/>
      <c r="E175" s="229"/>
      <c r="F175" s="229" t="s">
        <v>197</v>
      </c>
      <c r="G175" s="228" t="s">
        <v>1308</v>
      </c>
      <c r="H175" s="230">
        <v>0</v>
      </c>
      <c r="I175" s="230">
        <v>7</v>
      </c>
      <c r="J175" s="231"/>
      <c r="K175" s="230">
        <v>258540.75</v>
      </c>
      <c r="L175" s="230">
        <v>0</v>
      </c>
      <c r="M175" s="230">
        <v>258540.75</v>
      </c>
      <c r="N175" s="231"/>
      <c r="O175" s="230">
        <v>100098.25</v>
      </c>
      <c r="P175" s="230">
        <v>0</v>
      </c>
      <c r="Q175" s="230">
        <v>100098.25</v>
      </c>
      <c r="R175" s="231"/>
      <c r="S175" s="230">
        <v>358639</v>
      </c>
      <c r="T175" s="230">
        <v>0</v>
      </c>
      <c r="U175" s="230">
        <v>358639</v>
      </c>
      <c r="V175" s="232"/>
    </row>
    <row r="176" spans="1:22" x14ac:dyDescent="0.2">
      <c r="A176" s="227">
        <v>2019</v>
      </c>
      <c r="B176" s="227" t="s">
        <v>1474</v>
      </c>
      <c r="C176" s="228" t="s">
        <v>198</v>
      </c>
      <c r="D176" s="229" t="s">
        <v>1488</v>
      </c>
      <c r="E176" s="229"/>
      <c r="F176" s="229" t="s">
        <v>198</v>
      </c>
      <c r="G176" s="228" t="s">
        <v>1309</v>
      </c>
      <c r="H176" s="230">
        <v>0</v>
      </c>
      <c r="I176" s="230">
        <v>2</v>
      </c>
      <c r="J176" s="231"/>
      <c r="K176" s="230">
        <v>53805</v>
      </c>
      <c r="L176" s="230">
        <v>0</v>
      </c>
      <c r="M176" s="230">
        <v>53805</v>
      </c>
      <c r="N176" s="231"/>
      <c r="O176" s="230">
        <v>18475</v>
      </c>
      <c r="P176" s="230">
        <v>0</v>
      </c>
      <c r="Q176" s="230">
        <v>18475</v>
      </c>
      <c r="R176" s="231"/>
      <c r="S176" s="230">
        <v>72280</v>
      </c>
      <c r="T176" s="230">
        <v>0</v>
      </c>
      <c r="U176" s="230">
        <v>72280</v>
      </c>
      <c r="V176" s="232"/>
    </row>
    <row r="177" spans="1:22" x14ac:dyDescent="0.2">
      <c r="A177" s="227">
        <v>2019</v>
      </c>
      <c r="B177" s="227" t="s">
        <v>1480</v>
      </c>
      <c r="C177" s="228" t="s">
        <v>199</v>
      </c>
      <c r="D177" s="229"/>
      <c r="E177" s="229"/>
      <c r="F177" s="229" t="s">
        <v>199</v>
      </c>
      <c r="G177" s="228" t="s">
        <v>1310</v>
      </c>
      <c r="H177" s="230">
        <v>0</v>
      </c>
      <c r="I177" s="230">
        <v>9</v>
      </c>
      <c r="J177" s="231"/>
      <c r="K177" s="230">
        <v>459374.25</v>
      </c>
      <c r="L177" s="230">
        <v>0</v>
      </c>
      <c r="M177" s="230">
        <v>459374.25</v>
      </c>
      <c r="N177" s="231"/>
      <c r="O177" s="230">
        <v>160144.75</v>
      </c>
      <c r="P177" s="230">
        <v>0</v>
      </c>
      <c r="Q177" s="230">
        <v>160144.75</v>
      </c>
      <c r="R177" s="231"/>
      <c r="S177" s="230">
        <v>619519</v>
      </c>
      <c r="T177" s="230">
        <v>0</v>
      </c>
      <c r="U177" s="230">
        <v>619519</v>
      </c>
      <c r="V177" s="232"/>
    </row>
    <row r="178" spans="1:22" x14ac:dyDescent="0.2">
      <c r="A178" s="227">
        <v>2019</v>
      </c>
      <c r="B178" s="227" t="s">
        <v>1479</v>
      </c>
      <c r="C178" s="228" t="s">
        <v>200</v>
      </c>
      <c r="D178" s="229"/>
      <c r="E178" s="229"/>
      <c r="F178" s="229" t="s">
        <v>200</v>
      </c>
      <c r="G178" s="228" t="s">
        <v>1311</v>
      </c>
      <c r="H178" s="230">
        <v>0</v>
      </c>
      <c r="I178" s="230">
        <v>0</v>
      </c>
      <c r="J178" s="231"/>
      <c r="K178" s="230">
        <v>0</v>
      </c>
      <c r="L178" s="230">
        <v>0</v>
      </c>
      <c r="M178" s="230">
        <v>0</v>
      </c>
      <c r="N178" s="231"/>
      <c r="O178" s="230">
        <v>0</v>
      </c>
      <c r="P178" s="230">
        <v>0</v>
      </c>
      <c r="Q178" s="230">
        <v>0</v>
      </c>
      <c r="R178" s="231"/>
      <c r="S178" s="230">
        <v>0</v>
      </c>
      <c r="T178" s="230">
        <v>0</v>
      </c>
      <c r="U178" s="230">
        <v>0</v>
      </c>
      <c r="V178" s="232"/>
    </row>
    <row r="179" spans="1:22" x14ac:dyDescent="0.2">
      <c r="A179" s="227">
        <v>2019</v>
      </c>
      <c r="B179" s="227" t="s">
        <v>1474</v>
      </c>
      <c r="C179" s="228" t="s">
        <v>201</v>
      </c>
      <c r="D179" s="229"/>
      <c r="E179" s="229"/>
      <c r="F179" s="229" t="s">
        <v>201</v>
      </c>
      <c r="G179" s="228" t="s">
        <v>1312</v>
      </c>
      <c r="H179" s="230">
        <v>1</v>
      </c>
      <c r="I179" s="230">
        <v>7</v>
      </c>
      <c r="J179" s="231"/>
      <c r="K179" s="230">
        <v>164219.25</v>
      </c>
      <c r="L179" s="230">
        <v>20527.41</v>
      </c>
      <c r="M179" s="230">
        <v>143691.84</v>
      </c>
      <c r="N179" s="231"/>
      <c r="O179" s="230">
        <v>63090.75</v>
      </c>
      <c r="P179" s="230">
        <v>7886.34</v>
      </c>
      <c r="Q179" s="230">
        <v>55204.41</v>
      </c>
      <c r="R179" s="231"/>
      <c r="S179" s="230">
        <v>227310</v>
      </c>
      <c r="T179" s="230">
        <v>28413.75</v>
      </c>
      <c r="U179" s="230">
        <v>198896.25</v>
      </c>
      <c r="V179" s="232"/>
    </row>
    <row r="180" spans="1:22" x14ac:dyDescent="0.2">
      <c r="A180" s="227">
        <v>2019</v>
      </c>
      <c r="B180" s="227" t="s">
        <v>1477</v>
      </c>
      <c r="C180" s="228" t="s">
        <v>202</v>
      </c>
      <c r="D180" s="229"/>
      <c r="E180" s="229"/>
      <c r="F180" s="229" t="s">
        <v>202</v>
      </c>
      <c r="G180" s="228" t="s">
        <v>1313</v>
      </c>
      <c r="H180" s="230">
        <v>2</v>
      </c>
      <c r="I180" s="230">
        <v>2</v>
      </c>
      <c r="J180" s="231"/>
      <c r="K180" s="230">
        <v>406467</v>
      </c>
      <c r="L180" s="230">
        <v>203233.5</v>
      </c>
      <c r="M180" s="230">
        <v>203233.5</v>
      </c>
      <c r="N180" s="231"/>
      <c r="O180" s="230">
        <v>145606</v>
      </c>
      <c r="P180" s="230">
        <v>72803</v>
      </c>
      <c r="Q180" s="230">
        <v>72803</v>
      </c>
      <c r="R180" s="231"/>
      <c r="S180" s="230">
        <v>552073</v>
      </c>
      <c r="T180" s="230">
        <v>276036.5</v>
      </c>
      <c r="U180" s="230">
        <v>276036.5</v>
      </c>
      <c r="V180" s="232"/>
    </row>
    <row r="181" spans="1:22" x14ac:dyDescent="0.2">
      <c r="A181" s="227">
        <v>2019</v>
      </c>
      <c r="B181" s="227" t="s">
        <v>1471</v>
      </c>
      <c r="C181" s="228" t="s">
        <v>203</v>
      </c>
      <c r="D181" s="229"/>
      <c r="E181" s="229"/>
      <c r="F181" s="229" t="s">
        <v>203</v>
      </c>
      <c r="G181" s="228" t="s">
        <v>1314</v>
      </c>
      <c r="H181" s="230">
        <v>0</v>
      </c>
      <c r="I181" s="230">
        <v>0</v>
      </c>
      <c r="J181" s="231"/>
      <c r="K181" s="230">
        <v>0</v>
      </c>
      <c r="L181" s="230">
        <v>0</v>
      </c>
      <c r="M181" s="230">
        <v>0</v>
      </c>
      <c r="N181" s="231"/>
      <c r="O181" s="230">
        <v>0</v>
      </c>
      <c r="P181" s="230">
        <v>0</v>
      </c>
      <c r="Q181" s="230">
        <v>0</v>
      </c>
      <c r="R181" s="231"/>
      <c r="S181" s="230">
        <v>0</v>
      </c>
      <c r="T181" s="230">
        <v>0</v>
      </c>
      <c r="U181" s="230">
        <v>0</v>
      </c>
      <c r="V181" s="232"/>
    </row>
    <row r="182" spans="1:22" x14ac:dyDescent="0.2">
      <c r="A182" s="227">
        <v>2019</v>
      </c>
      <c r="B182" s="227" t="s">
        <v>1470</v>
      </c>
      <c r="C182" s="228" t="s">
        <v>204</v>
      </c>
      <c r="D182" s="229"/>
      <c r="E182" s="229"/>
      <c r="F182" s="229" t="s">
        <v>204</v>
      </c>
      <c r="G182" s="228" t="s">
        <v>1315</v>
      </c>
      <c r="H182" s="230">
        <v>0</v>
      </c>
      <c r="I182" s="230">
        <v>1</v>
      </c>
      <c r="J182" s="231"/>
      <c r="K182" s="230">
        <v>27138</v>
      </c>
      <c r="L182" s="230">
        <v>0</v>
      </c>
      <c r="M182" s="230">
        <v>27138</v>
      </c>
      <c r="N182" s="231"/>
      <c r="O182" s="230">
        <v>9991</v>
      </c>
      <c r="P182" s="230">
        <v>0</v>
      </c>
      <c r="Q182" s="230">
        <v>9991</v>
      </c>
      <c r="R182" s="231"/>
      <c r="S182" s="230">
        <v>37129</v>
      </c>
      <c r="T182" s="230">
        <v>0</v>
      </c>
      <c r="U182" s="230">
        <v>37129</v>
      </c>
      <c r="V182" s="232"/>
    </row>
    <row r="183" spans="1:22" x14ac:dyDescent="0.2">
      <c r="A183" s="227">
        <v>2019</v>
      </c>
      <c r="B183" s="227" t="s">
        <v>1471</v>
      </c>
      <c r="C183" s="228" t="s">
        <v>205</v>
      </c>
      <c r="D183" s="229"/>
      <c r="E183" s="229"/>
      <c r="F183" s="229" t="s">
        <v>205</v>
      </c>
      <c r="G183" s="228" t="s">
        <v>1316</v>
      </c>
      <c r="H183" s="230">
        <v>0</v>
      </c>
      <c r="I183" s="230">
        <v>7</v>
      </c>
      <c r="J183" s="231"/>
      <c r="K183" s="230">
        <v>1387190.25</v>
      </c>
      <c r="L183" s="230">
        <v>0</v>
      </c>
      <c r="M183" s="230">
        <v>1387190.25</v>
      </c>
      <c r="N183" s="231"/>
      <c r="O183" s="230">
        <v>519036.75</v>
      </c>
      <c r="P183" s="230">
        <v>0</v>
      </c>
      <c r="Q183" s="230">
        <v>519036.75</v>
      </c>
      <c r="R183" s="231"/>
      <c r="S183" s="230">
        <v>1906227</v>
      </c>
      <c r="T183" s="230">
        <v>0</v>
      </c>
      <c r="U183" s="230">
        <v>1906227</v>
      </c>
      <c r="V183" s="232"/>
    </row>
    <row r="184" spans="1:22" x14ac:dyDescent="0.2">
      <c r="A184" s="227">
        <v>2019</v>
      </c>
      <c r="B184" s="227" t="s">
        <v>1476</v>
      </c>
      <c r="C184" s="228" t="s">
        <v>207</v>
      </c>
      <c r="D184" s="229"/>
      <c r="E184" s="229"/>
      <c r="F184" s="229" t="s">
        <v>207</v>
      </c>
      <c r="G184" s="228" t="s">
        <v>1317</v>
      </c>
      <c r="H184" s="230">
        <v>3</v>
      </c>
      <c r="I184" s="230">
        <v>4</v>
      </c>
      <c r="J184" s="231"/>
      <c r="K184" s="230">
        <v>256968.75</v>
      </c>
      <c r="L184" s="230">
        <v>110129.46</v>
      </c>
      <c r="M184" s="230">
        <v>146839.28999999998</v>
      </c>
      <c r="N184" s="231"/>
      <c r="O184" s="230">
        <v>107940.25</v>
      </c>
      <c r="P184" s="230">
        <v>46260.11</v>
      </c>
      <c r="Q184" s="230">
        <v>61680.14</v>
      </c>
      <c r="R184" s="231"/>
      <c r="S184" s="230">
        <v>364909</v>
      </c>
      <c r="T184" s="230">
        <v>156389.57</v>
      </c>
      <c r="U184" s="230">
        <v>208519.43</v>
      </c>
      <c r="V184" s="232"/>
    </row>
    <row r="185" spans="1:22" x14ac:dyDescent="0.2">
      <c r="A185" s="227">
        <v>2019</v>
      </c>
      <c r="B185" s="227" t="s">
        <v>1470</v>
      </c>
      <c r="C185" s="228" t="s">
        <v>208</v>
      </c>
      <c r="D185" s="229"/>
      <c r="E185" s="229"/>
      <c r="F185" s="229" t="s">
        <v>208</v>
      </c>
      <c r="G185" s="228" t="s">
        <v>1318</v>
      </c>
      <c r="H185" s="230">
        <v>0</v>
      </c>
      <c r="I185" s="230">
        <v>5</v>
      </c>
      <c r="J185" s="231"/>
      <c r="K185" s="230">
        <v>46046.25</v>
      </c>
      <c r="L185" s="230">
        <v>0</v>
      </c>
      <c r="M185" s="230">
        <v>46046.25</v>
      </c>
      <c r="N185" s="231"/>
      <c r="O185" s="230">
        <v>16058.75</v>
      </c>
      <c r="P185" s="230">
        <v>0</v>
      </c>
      <c r="Q185" s="230">
        <v>16058.75</v>
      </c>
      <c r="R185" s="231"/>
      <c r="S185" s="230">
        <v>62105</v>
      </c>
      <c r="T185" s="230">
        <v>0</v>
      </c>
      <c r="U185" s="230">
        <v>62105</v>
      </c>
      <c r="V185" s="232"/>
    </row>
    <row r="186" spans="1:22" x14ac:dyDescent="0.2">
      <c r="A186" s="227">
        <v>2019</v>
      </c>
      <c r="B186" s="227" t="s">
        <v>1479</v>
      </c>
      <c r="C186" s="228" t="s">
        <v>212</v>
      </c>
      <c r="D186" s="229"/>
      <c r="E186" s="229"/>
      <c r="F186" s="229" t="s">
        <v>212</v>
      </c>
      <c r="G186" s="228" t="s">
        <v>799</v>
      </c>
      <c r="H186" s="230">
        <v>4</v>
      </c>
      <c r="I186" s="230">
        <v>4</v>
      </c>
      <c r="J186" s="231"/>
      <c r="K186" s="230">
        <v>228006</v>
      </c>
      <c r="L186" s="230">
        <v>114003</v>
      </c>
      <c r="M186" s="230">
        <v>114003</v>
      </c>
      <c r="N186" s="231"/>
      <c r="O186" s="230">
        <v>84373</v>
      </c>
      <c r="P186" s="230">
        <v>42186.5</v>
      </c>
      <c r="Q186" s="230">
        <v>42186.5</v>
      </c>
      <c r="R186" s="231"/>
      <c r="S186" s="230">
        <v>312379</v>
      </c>
      <c r="T186" s="230">
        <v>156189.5</v>
      </c>
      <c r="U186" s="230">
        <v>156189.5</v>
      </c>
      <c r="V186" s="232"/>
    </row>
    <row r="187" spans="1:22" x14ac:dyDescent="0.2">
      <c r="A187" s="227">
        <v>2019</v>
      </c>
      <c r="B187" s="227" t="s">
        <v>1477</v>
      </c>
      <c r="C187" s="228" t="s">
        <v>209</v>
      </c>
      <c r="D187" s="229"/>
      <c r="E187" s="229"/>
      <c r="F187" s="229" t="s">
        <v>209</v>
      </c>
      <c r="G187" s="228" t="s">
        <v>1319</v>
      </c>
      <c r="H187" s="230">
        <v>2</v>
      </c>
      <c r="I187" s="230">
        <v>12</v>
      </c>
      <c r="J187" s="231"/>
      <c r="K187" s="230">
        <v>238515.75</v>
      </c>
      <c r="L187" s="230">
        <v>34073.68</v>
      </c>
      <c r="M187" s="230">
        <v>204442.07</v>
      </c>
      <c r="N187" s="231"/>
      <c r="O187" s="230">
        <v>82024.25</v>
      </c>
      <c r="P187" s="230">
        <v>11717.75</v>
      </c>
      <c r="Q187" s="230">
        <v>70306.5</v>
      </c>
      <c r="R187" s="231"/>
      <c r="S187" s="230">
        <v>320540</v>
      </c>
      <c r="T187" s="230">
        <v>45791.43</v>
      </c>
      <c r="U187" s="230">
        <v>274748.57</v>
      </c>
      <c r="V187" s="232"/>
    </row>
    <row r="188" spans="1:22" x14ac:dyDescent="0.2">
      <c r="A188" s="227">
        <v>2019</v>
      </c>
      <c r="B188" s="227" t="s">
        <v>1477</v>
      </c>
      <c r="C188" s="228" t="s">
        <v>210</v>
      </c>
      <c r="D188" s="229"/>
      <c r="E188" s="229"/>
      <c r="F188" s="229" t="s">
        <v>210</v>
      </c>
      <c r="G188" s="228" t="s">
        <v>1320</v>
      </c>
      <c r="H188" s="230">
        <v>6</v>
      </c>
      <c r="I188" s="230">
        <v>8</v>
      </c>
      <c r="J188" s="231"/>
      <c r="K188" s="230">
        <v>862139.25</v>
      </c>
      <c r="L188" s="230">
        <v>369488.25</v>
      </c>
      <c r="M188" s="230">
        <v>492651</v>
      </c>
      <c r="N188" s="231"/>
      <c r="O188" s="230">
        <v>319223.75</v>
      </c>
      <c r="P188" s="230">
        <v>136810.18</v>
      </c>
      <c r="Q188" s="230">
        <v>182413.57</v>
      </c>
      <c r="R188" s="231"/>
      <c r="S188" s="230">
        <v>1181363</v>
      </c>
      <c r="T188" s="230">
        <v>506298.43</v>
      </c>
      <c r="U188" s="230">
        <v>675064.57000000007</v>
      </c>
      <c r="V188" s="232"/>
    </row>
    <row r="189" spans="1:22" x14ac:dyDescent="0.2">
      <c r="A189" s="227">
        <v>2019</v>
      </c>
      <c r="B189" s="227" t="s">
        <v>1472</v>
      </c>
      <c r="C189" s="228" t="s">
        <v>211</v>
      </c>
      <c r="D189" s="229"/>
      <c r="E189" s="229"/>
      <c r="F189" s="229" t="s">
        <v>211</v>
      </c>
      <c r="G189" s="228" t="s">
        <v>1321</v>
      </c>
      <c r="H189" s="230">
        <v>0</v>
      </c>
      <c r="I189" s="230">
        <v>2</v>
      </c>
      <c r="J189" s="231"/>
      <c r="K189" s="230">
        <v>45984</v>
      </c>
      <c r="L189" s="230">
        <v>0</v>
      </c>
      <c r="M189" s="230">
        <v>45984</v>
      </c>
      <c r="N189" s="231"/>
      <c r="O189" s="230">
        <v>17057</v>
      </c>
      <c r="P189" s="230">
        <v>0</v>
      </c>
      <c r="Q189" s="230">
        <v>17057</v>
      </c>
      <c r="R189" s="231"/>
      <c r="S189" s="230">
        <v>63041</v>
      </c>
      <c r="T189" s="230">
        <v>0</v>
      </c>
      <c r="U189" s="230">
        <v>63041</v>
      </c>
      <c r="V189" s="232"/>
    </row>
    <row r="190" spans="1:22" x14ac:dyDescent="0.2">
      <c r="A190" s="227">
        <v>2019</v>
      </c>
      <c r="B190" s="227" t="s">
        <v>1474</v>
      </c>
      <c r="C190" s="228" t="s">
        <v>206</v>
      </c>
      <c r="D190" s="229"/>
      <c r="E190" s="229"/>
      <c r="F190" s="229" t="s">
        <v>206</v>
      </c>
      <c r="G190" s="228" t="s">
        <v>1322</v>
      </c>
      <c r="H190" s="230">
        <v>0</v>
      </c>
      <c r="I190" s="230">
        <v>5</v>
      </c>
      <c r="J190" s="231"/>
      <c r="K190" s="230">
        <v>433184.25</v>
      </c>
      <c r="L190" s="230">
        <v>0</v>
      </c>
      <c r="M190" s="230">
        <v>433184.25</v>
      </c>
      <c r="N190" s="231"/>
      <c r="O190" s="230">
        <v>152814.75</v>
      </c>
      <c r="P190" s="230">
        <v>0</v>
      </c>
      <c r="Q190" s="230">
        <v>152814.75</v>
      </c>
      <c r="R190" s="231"/>
      <c r="S190" s="230">
        <v>585999</v>
      </c>
      <c r="T190" s="230">
        <v>0</v>
      </c>
      <c r="U190" s="230">
        <v>585999</v>
      </c>
      <c r="V190" s="232"/>
    </row>
    <row r="191" spans="1:22" x14ac:dyDescent="0.2">
      <c r="A191" s="227">
        <v>2019</v>
      </c>
      <c r="B191" s="227" t="s">
        <v>1471</v>
      </c>
      <c r="C191" s="228" t="s">
        <v>213</v>
      </c>
      <c r="D191" s="229"/>
      <c r="E191" s="229"/>
      <c r="F191" s="229" t="s">
        <v>213</v>
      </c>
      <c r="G191" s="228" t="s">
        <v>1323</v>
      </c>
      <c r="H191" s="230">
        <v>0</v>
      </c>
      <c r="I191" s="230">
        <v>8</v>
      </c>
      <c r="J191" s="231"/>
      <c r="K191" s="230">
        <v>169709.25</v>
      </c>
      <c r="L191" s="230">
        <v>0</v>
      </c>
      <c r="M191" s="230">
        <v>169709.25</v>
      </c>
      <c r="N191" s="231"/>
      <c r="O191" s="230">
        <v>79657.75</v>
      </c>
      <c r="P191" s="230">
        <v>0</v>
      </c>
      <c r="Q191" s="230">
        <v>79657.75</v>
      </c>
      <c r="R191" s="231"/>
      <c r="S191" s="230">
        <v>249367</v>
      </c>
      <c r="T191" s="230">
        <v>0</v>
      </c>
      <c r="U191" s="230">
        <v>249367</v>
      </c>
      <c r="V191" s="232"/>
    </row>
    <row r="192" spans="1:22" x14ac:dyDescent="0.2">
      <c r="A192" s="227">
        <v>2019</v>
      </c>
      <c r="B192" s="227" t="s">
        <v>1477</v>
      </c>
      <c r="C192" s="228" t="s">
        <v>214</v>
      </c>
      <c r="D192" s="229"/>
      <c r="E192" s="229"/>
      <c r="F192" s="229" t="s">
        <v>214</v>
      </c>
      <c r="G192" s="228" t="s">
        <v>1324</v>
      </c>
      <c r="H192" s="230">
        <v>0</v>
      </c>
      <c r="I192" s="230">
        <v>5</v>
      </c>
      <c r="J192" s="231"/>
      <c r="K192" s="230">
        <v>231581.25</v>
      </c>
      <c r="L192" s="230">
        <v>0</v>
      </c>
      <c r="M192" s="230">
        <v>231581.25</v>
      </c>
      <c r="N192" s="231"/>
      <c r="O192" s="230">
        <v>85143.75</v>
      </c>
      <c r="P192" s="230">
        <v>0</v>
      </c>
      <c r="Q192" s="230">
        <v>85143.75</v>
      </c>
      <c r="R192" s="231"/>
      <c r="S192" s="230">
        <v>316725</v>
      </c>
      <c r="T192" s="230">
        <v>0</v>
      </c>
      <c r="U192" s="230">
        <v>316725</v>
      </c>
      <c r="V192" s="232"/>
    </row>
    <row r="193" spans="1:24" x14ac:dyDescent="0.2">
      <c r="A193" s="227">
        <v>2019</v>
      </c>
      <c r="B193" s="227" t="s">
        <v>1476</v>
      </c>
      <c r="C193" s="228" t="s">
        <v>215</v>
      </c>
      <c r="D193" s="229"/>
      <c r="E193" s="229"/>
      <c r="F193" s="229" t="s">
        <v>215</v>
      </c>
      <c r="G193" s="228" t="s">
        <v>1325</v>
      </c>
      <c r="H193" s="230">
        <v>0</v>
      </c>
      <c r="I193" s="230">
        <v>12</v>
      </c>
      <c r="J193" s="231"/>
      <c r="K193" s="230">
        <v>131904.75</v>
      </c>
      <c r="L193" s="230">
        <v>0</v>
      </c>
      <c r="M193" s="230">
        <v>131904.75</v>
      </c>
      <c r="N193" s="231"/>
      <c r="O193" s="230">
        <v>49597.25</v>
      </c>
      <c r="P193" s="230">
        <v>0</v>
      </c>
      <c r="Q193" s="230">
        <v>49597.25</v>
      </c>
      <c r="R193" s="231"/>
      <c r="S193" s="230">
        <v>181502</v>
      </c>
      <c r="T193" s="230">
        <v>0</v>
      </c>
      <c r="U193" s="230">
        <v>181502</v>
      </c>
      <c r="V193" s="232"/>
    </row>
    <row r="194" spans="1:24" x14ac:dyDescent="0.2">
      <c r="A194" s="227">
        <v>2019</v>
      </c>
      <c r="B194" s="227" t="s">
        <v>1472</v>
      </c>
      <c r="C194" s="228" t="s">
        <v>216</v>
      </c>
      <c r="D194" s="229"/>
      <c r="E194" s="229"/>
      <c r="F194" s="229" t="s">
        <v>216</v>
      </c>
      <c r="G194" s="228" t="s">
        <v>1326</v>
      </c>
      <c r="H194" s="230">
        <v>0</v>
      </c>
      <c r="I194" s="230">
        <v>6</v>
      </c>
      <c r="J194" s="231"/>
      <c r="K194" s="230">
        <v>146208.75</v>
      </c>
      <c r="L194" s="230">
        <v>0</v>
      </c>
      <c r="M194" s="230">
        <v>146208.75</v>
      </c>
      <c r="N194" s="231"/>
      <c r="O194" s="230">
        <v>-76889.75</v>
      </c>
      <c r="P194" s="230">
        <v>0</v>
      </c>
      <c r="Q194" s="230">
        <v>-76889.75</v>
      </c>
      <c r="R194" s="231"/>
      <c r="S194" s="230">
        <v>69319</v>
      </c>
      <c r="T194" s="230">
        <v>0</v>
      </c>
      <c r="U194" s="230">
        <v>69319</v>
      </c>
      <c r="V194" s="232"/>
      <c r="X194" s="232"/>
    </row>
    <row r="195" spans="1:24" x14ac:dyDescent="0.2">
      <c r="A195" s="227">
        <v>2019</v>
      </c>
      <c r="B195" s="227" t="s">
        <v>1476</v>
      </c>
      <c r="C195" s="228" t="s">
        <v>217</v>
      </c>
      <c r="D195" s="229"/>
      <c r="E195" s="229"/>
      <c r="F195" s="229" t="s">
        <v>217</v>
      </c>
      <c r="G195" s="228" t="s">
        <v>1327</v>
      </c>
      <c r="H195" s="230">
        <v>0</v>
      </c>
      <c r="I195" s="230">
        <v>1</v>
      </c>
      <c r="J195" s="231"/>
      <c r="K195" s="230">
        <v>7939.5</v>
      </c>
      <c r="L195" s="230">
        <v>0</v>
      </c>
      <c r="M195" s="230">
        <v>7939.5</v>
      </c>
      <c r="N195" s="231"/>
      <c r="O195" s="230">
        <v>2840.5</v>
      </c>
      <c r="P195" s="230">
        <v>0</v>
      </c>
      <c r="Q195" s="230">
        <v>2840.5</v>
      </c>
      <c r="R195" s="231"/>
      <c r="S195" s="230">
        <v>10780</v>
      </c>
      <c r="T195" s="230">
        <v>0</v>
      </c>
      <c r="U195" s="230">
        <v>10780</v>
      </c>
      <c r="V195" s="232"/>
    </row>
    <row r="196" spans="1:24" x14ac:dyDescent="0.2">
      <c r="A196" s="227">
        <v>2019</v>
      </c>
      <c r="B196" s="227" t="s">
        <v>1476</v>
      </c>
      <c r="C196" s="228" t="s">
        <v>218</v>
      </c>
      <c r="D196" s="229"/>
      <c r="E196" s="229"/>
      <c r="F196" s="229" t="s">
        <v>218</v>
      </c>
      <c r="G196" s="228" t="s">
        <v>1328</v>
      </c>
      <c r="H196" s="230">
        <v>0</v>
      </c>
      <c r="I196" s="230">
        <v>12</v>
      </c>
      <c r="J196" s="231"/>
      <c r="K196" s="230">
        <v>71207.25</v>
      </c>
      <c r="L196" s="230">
        <v>0</v>
      </c>
      <c r="M196" s="230">
        <v>71207.25</v>
      </c>
      <c r="N196" s="231"/>
      <c r="O196" s="230">
        <v>24522.75</v>
      </c>
      <c r="P196" s="230">
        <v>0</v>
      </c>
      <c r="Q196" s="230">
        <v>24522.75</v>
      </c>
      <c r="R196" s="231"/>
      <c r="S196" s="230">
        <v>95730</v>
      </c>
      <c r="T196" s="230">
        <v>0</v>
      </c>
      <c r="U196" s="230">
        <v>95730</v>
      </c>
      <c r="V196" s="232"/>
    </row>
    <row r="197" spans="1:24" x14ac:dyDescent="0.2">
      <c r="A197" s="227">
        <v>2019</v>
      </c>
      <c r="B197" s="227" t="s">
        <v>1472</v>
      </c>
      <c r="C197" s="228" t="s">
        <v>219</v>
      </c>
      <c r="D197" s="229"/>
      <c r="E197" s="229"/>
      <c r="F197" s="229" t="s">
        <v>219</v>
      </c>
      <c r="G197" s="228" t="s">
        <v>1329</v>
      </c>
      <c r="H197" s="230">
        <v>0</v>
      </c>
      <c r="I197" s="230">
        <v>6</v>
      </c>
      <c r="J197" s="231"/>
      <c r="K197" s="230">
        <v>123876.75</v>
      </c>
      <c r="L197" s="230">
        <v>0</v>
      </c>
      <c r="M197" s="230">
        <v>123876.75</v>
      </c>
      <c r="N197" s="231"/>
      <c r="O197" s="230">
        <v>48744.25</v>
      </c>
      <c r="P197" s="230">
        <v>0</v>
      </c>
      <c r="Q197" s="230">
        <v>48744.25</v>
      </c>
      <c r="R197" s="231"/>
      <c r="S197" s="230">
        <v>172621</v>
      </c>
      <c r="T197" s="230">
        <v>0</v>
      </c>
      <c r="U197" s="230">
        <v>172621</v>
      </c>
      <c r="V197" s="232"/>
    </row>
    <row r="198" spans="1:24" x14ac:dyDescent="0.2">
      <c r="A198" s="227">
        <v>2019</v>
      </c>
      <c r="B198" s="227" t="s">
        <v>1476</v>
      </c>
      <c r="C198" s="228" t="s">
        <v>220</v>
      </c>
      <c r="D198" s="229"/>
      <c r="E198" s="229"/>
      <c r="F198" s="229" t="s">
        <v>220</v>
      </c>
      <c r="G198" s="228" t="s">
        <v>1330</v>
      </c>
      <c r="H198" s="230">
        <v>0</v>
      </c>
      <c r="I198" s="230">
        <v>5</v>
      </c>
      <c r="J198" s="231"/>
      <c r="K198" s="230">
        <v>366183.75</v>
      </c>
      <c r="L198" s="230">
        <v>0</v>
      </c>
      <c r="M198" s="230">
        <v>366183.75</v>
      </c>
      <c r="N198" s="231"/>
      <c r="O198" s="230">
        <v>143339.25</v>
      </c>
      <c r="P198" s="230">
        <v>0</v>
      </c>
      <c r="Q198" s="230">
        <v>143339.25</v>
      </c>
      <c r="R198" s="231"/>
      <c r="S198" s="230">
        <v>509523</v>
      </c>
      <c r="T198" s="230">
        <v>0</v>
      </c>
      <c r="U198" s="230">
        <v>509523</v>
      </c>
      <c r="V198" s="232"/>
    </row>
    <row r="199" spans="1:24" x14ac:dyDescent="0.2">
      <c r="A199" s="227">
        <v>2019</v>
      </c>
      <c r="B199" s="227" t="s">
        <v>1477</v>
      </c>
      <c r="C199" s="228" t="s">
        <v>221</v>
      </c>
      <c r="D199" s="229"/>
      <c r="E199" s="229"/>
      <c r="F199" s="229" t="s">
        <v>221</v>
      </c>
      <c r="G199" s="228" t="s">
        <v>1331</v>
      </c>
      <c r="H199" s="230">
        <v>0</v>
      </c>
      <c r="I199" s="230">
        <v>6</v>
      </c>
      <c r="J199" s="231"/>
      <c r="K199" s="230">
        <v>331032.75</v>
      </c>
      <c r="L199" s="230">
        <v>0</v>
      </c>
      <c r="M199" s="230">
        <v>331032.75</v>
      </c>
      <c r="N199" s="231"/>
      <c r="O199" s="230">
        <v>143378.25</v>
      </c>
      <c r="P199" s="230">
        <v>0</v>
      </c>
      <c r="Q199" s="230">
        <v>143378.25</v>
      </c>
      <c r="R199" s="231"/>
      <c r="S199" s="230">
        <v>474411</v>
      </c>
      <c r="T199" s="230">
        <v>0</v>
      </c>
      <c r="U199" s="230">
        <v>474411</v>
      </c>
      <c r="V199" s="232"/>
    </row>
    <row r="200" spans="1:24" x14ac:dyDescent="0.2">
      <c r="A200" s="227">
        <v>2019</v>
      </c>
      <c r="B200" s="227" t="s">
        <v>1472</v>
      </c>
      <c r="C200" s="228" t="s">
        <v>222</v>
      </c>
      <c r="D200" s="229"/>
      <c r="E200" s="229"/>
      <c r="F200" s="229" t="s">
        <v>222</v>
      </c>
      <c r="G200" s="228" t="s">
        <v>1332</v>
      </c>
      <c r="H200" s="230">
        <v>0</v>
      </c>
      <c r="I200" s="230">
        <v>11</v>
      </c>
      <c r="J200" s="231"/>
      <c r="K200" s="230">
        <v>81131.25</v>
      </c>
      <c r="L200" s="230">
        <v>0</v>
      </c>
      <c r="M200" s="230">
        <v>81131.25</v>
      </c>
      <c r="N200" s="231"/>
      <c r="O200" s="230">
        <v>29117.75</v>
      </c>
      <c r="P200" s="230">
        <v>0</v>
      </c>
      <c r="Q200" s="230">
        <v>29117.75</v>
      </c>
      <c r="R200" s="231"/>
      <c r="S200" s="230">
        <v>110249</v>
      </c>
      <c r="T200" s="230">
        <v>0</v>
      </c>
      <c r="U200" s="230">
        <v>110249</v>
      </c>
      <c r="V200" s="232"/>
    </row>
    <row r="201" spans="1:24" x14ac:dyDescent="0.2">
      <c r="A201" s="227">
        <v>2019</v>
      </c>
      <c r="B201" s="227" t="s">
        <v>1480</v>
      </c>
      <c r="C201" s="228" t="s">
        <v>223</v>
      </c>
      <c r="D201" s="229"/>
      <c r="E201" s="229"/>
      <c r="F201" s="229" t="s">
        <v>223</v>
      </c>
      <c r="G201" s="228" t="s">
        <v>1333</v>
      </c>
      <c r="H201" s="230">
        <v>0</v>
      </c>
      <c r="I201" s="230">
        <v>1</v>
      </c>
      <c r="J201" s="231"/>
      <c r="K201" s="230">
        <v>220488</v>
      </c>
      <c r="L201" s="230">
        <v>0</v>
      </c>
      <c r="M201" s="230">
        <v>220488</v>
      </c>
      <c r="N201" s="231"/>
      <c r="O201" s="230">
        <v>81385</v>
      </c>
      <c r="P201" s="230">
        <v>0</v>
      </c>
      <c r="Q201" s="230">
        <v>81385</v>
      </c>
      <c r="R201" s="231"/>
      <c r="S201" s="230">
        <v>301873</v>
      </c>
      <c r="T201" s="230">
        <v>0</v>
      </c>
      <c r="U201" s="230">
        <v>301873</v>
      </c>
      <c r="V201" s="232"/>
    </row>
    <row r="202" spans="1:24" x14ac:dyDescent="0.2">
      <c r="A202" s="227">
        <v>2019</v>
      </c>
      <c r="B202" s="227" t="s">
        <v>1471</v>
      </c>
      <c r="C202" s="228" t="s">
        <v>224</v>
      </c>
      <c r="D202" s="229"/>
      <c r="E202" s="229"/>
      <c r="F202" s="229" t="s">
        <v>224</v>
      </c>
      <c r="G202" s="228" t="s">
        <v>1334</v>
      </c>
      <c r="H202" s="230">
        <v>0</v>
      </c>
      <c r="I202" s="230">
        <v>9</v>
      </c>
      <c r="J202" s="231"/>
      <c r="K202" s="230">
        <v>225056.25</v>
      </c>
      <c r="L202" s="230">
        <v>0</v>
      </c>
      <c r="M202" s="230">
        <v>225056.25</v>
      </c>
      <c r="N202" s="231"/>
      <c r="O202" s="230">
        <v>79631.75</v>
      </c>
      <c r="P202" s="230">
        <v>0</v>
      </c>
      <c r="Q202" s="230">
        <v>79631.75</v>
      </c>
      <c r="R202" s="231"/>
      <c r="S202" s="230">
        <v>304688</v>
      </c>
      <c r="T202" s="230">
        <v>0</v>
      </c>
      <c r="U202" s="230">
        <v>304688</v>
      </c>
      <c r="V202" s="232"/>
    </row>
    <row r="203" spans="1:24" x14ac:dyDescent="0.2">
      <c r="A203" s="227">
        <v>2019</v>
      </c>
      <c r="B203" s="227" t="s">
        <v>1470</v>
      </c>
      <c r="C203" s="228" t="s">
        <v>225</v>
      </c>
      <c r="D203" s="229"/>
      <c r="E203" s="229"/>
      <c r="F203" s="229" t="s">
        <v>225</v>
      </c>
      <c r="G203" s="228" t="s">
        <v>1335</v>
      </c>
      <c r="H203" s="230">
        <v>0</v>
      </c>
      <c r="I203" s="230">
        <v>5</v>
      </c>
      <c r="J203" s="231"/>
      <c r="K203" s="230">
        <v>338438.25</v>
      </c>
      <c r="L203" s="230">
        <v>0</v>
      </c>
      <c r="M203" s="230">
        <v>338438.25</v>
      </c>
      <c r="N203" s="231"/>
      <c r="O203" s="230">
        <v>133163.75</v>
      </c>
      <c r="P203" s="230">
        <v>0</v>
      </c>
      <c r="Q203" s="230">
        <v>133163.75</v>
      </c>
      <c r="R203" s="231"/>
      <c r="S203" s="230">
        <v>471602</v>
      </c>
      <c r="T203" s="230">
        <v>0</v>
      </c>
      <c r="U203" s="230">
        <v>471602</v>
      </c>
      <c r="V203" s="232"/>
    </row>
    <row r="204" spans="1:24" x14ac:dyDescent="0.2">
      <c r="A204" s="227">
        <v>2019</v>
      </c>
      <c r="B204" s="227" t="s">
        <v>1479</v>
      </c>
      <c r="C204" s="228" t="s">
        <v>227</v>
      </c>
      <c r="D204" s="229"/>
      <c r="E204" s="229"/>
      <c r="F204" s="229" t="s">
        <v>227</v>
      </c>
      <c r="G204" s="228" t="s">
        <v>1336</v>
      </c>
      <c r="H204" s="230">
        <v>0</v>
      </c>
      <c r="I204" s="230">
        <v>7</v>
      </c>
      <c r="J204" s="231"/>
      <c r="K204" s="230">
        <v>350614.5</v>
      </c>
      <c r="L204" s="230">
        <v>0</v>
      </c>
      <c r="M204" s="230">
        <v>350614.5</v>
      </c>
      <c r="N204" s="231"/>
      <c r="O204" s="230">
        <v>140494.5</v>
      </c>
      <c r="P204" s="230">
        <v>0</v>
      </c>
      <c r="Q204" s="230">
        <v>140494.5</v>
      </c>
      <c r="R204" s="231"/>
      <c r="S204" s="230">
        <v>491109</v>
      </c>
      <c r="T204" s="230">
        <v>0</v>
      </c>
      <c r="U204" s="230">
        <v>491109</v>
      </c>
      <c r="V204" s="232"/>
    </row>
    <row r="205" spans="1:24" x14ac:dyDescent="0.2">
      <c r="A205" s="227">
        <v>2019</v>
      </c>
      <c r="B205" s="227" t="s">
        <v>1476</v>
      </c>
      <c r="C205" s="228" t="s">
        <v>228</v>
      </c>
      <c r="D205" s="229"/>
      <c r="E205" s="229"/>
      <c r="F205" s="229" t="s">
        <v>228</v>
      </c>
      <c r="G205" s="228" t="s">
        <v>1337</v>
      </c>
      <c r="H205" s="230">
        <v>2</v>
      </c>
      <c r="I205" s="230">
        <v>7</v>
      </c>
      <c r="J205" s="231"/>
      <c r="K205" s="230">
        <v>170044.5</v>
      </c>
      <c r="L205" s="230">
        <v>37787.67</v>
      </c>
      <c r="M205" s="230">
        <v>132256.83000000002</v>
      </c>
      <c r="N205" s="231"/>
      <c r="O205" s="230">
        <v>60778.5</v>
      </c>
      <c r="P205" s="230">
        <v>13506.33</v>
      </c>
      <c r="Q205" s="230">
        <v>47272.17</v>
      </c>
      <c r="R205" s="231"/>
      <c r="S205" s="230">
        <v>230823</v>
      </c>
      <c r="T205" s="230">
        <v>51294</v>
      </c>
      <c r="U205" s="230">
        <v>179529</v>
      </c>
      <c r="V205" s="232"/>
    </row>
    <row r="206" spans="1:24" x14ac:dyDescent="0.2">
      <c r="A206" s="227">
        <v>2019</v>
      </c>
      <c r="B206" s="227" t="s">
        <v>1475</v>
      </c>
      <c r="C206" s="228" t="s">
        <v>226</v>
      </c>
      <c r="D206" s="229"/>
      <c r="E206" s="229"/>
      <c r="F206" s="229" t="s">
        <v>226</v>
      </c>
      <c r="G206" s="228" t="s">
        <v>1338</v>
      </c>
      <c r="H206" s="230">
        <v>0</v>
      </c>
      <c r="I206" s="230">
        <v>7</v>
      </c>
      <c r="J206" s="231"/>
      <c r="K206" s="230">
        <v>124654.5</v>
      </c>
      <c r="L206" s="230">
        <v>0</v>
      </c>
      <c r="M206" s="230">
        <v>124654.5</v>
      </c>
      <c r="N206" s="231"/>
      <c r="O206" s="230">
        <v>44711.5</v>
      </c>
      <c r="P206" s="230">
        <v>0</v>
      </c>
      <c r="Q206" s="230">
        <v>44711.5</v>
      </c>
      <c r="R206" s="231"/>
      <c r="S206" s="230">
        <v>169366</v>
      </c>
      <c r="T206" s="230">
        <v>0</v>
      </c>
      <c r="U206" s="230">
        <v>169366</v>
      </c>
      <c r="V206" s="232"/>
    </row>
    <row r="207" spans="1:24" x14ac:dyDescent="0.2">
      <c r="A207" s="227">
        <v>2019</v>
      </c>
      <c r="B207" s="227" t="s">
        <v>1470</v>
      </c>
      <c r="C207" s="228" t="s">
        <v>229</v>
      </c>
      <c r="D207" s="229"/>
      <c r="E207" s="229"/>
      <c r="F207" s="229" t="s">
        <v>229</v>
      </c>
      <c r="G207" s="228" t="s">
        <v>1339</v>
      </c>
      <c r="H207" s="230">
        <v>0</v>
      </c>
      <c r="I207" s="230">
        <v>7</v>
      </c>
      <c r="J207" s="231"/>
      <c r="K207" s="230">
        <v>865731</v>
      </c>
      <c r="L207" s="230">
        <v>0</v>
      </c>
      <c r="M207" s="230">
        <v>865731</v>
      </c>
      <c r="N207" s="231"/>
      <c r="O207" s="230">
        <v>368885</v>
      </c>
      <c r="P207" s="230">
        <v>0</v>
      </c>
      <c r="Q207" s="230">
        <v>368885</v>
      </c>
      <c r="R207" s="231"/>
      <c r="S207" s="230">
        <v>1234616</v>
      </c>
      <c r="T207" s="230">
        <v>0</v>
      </c>
      <c r="U207" s="230">
        <v>1234616</v>
      </c>
      <c r="V207" s="232"/>
    </row>
    <row r="208" spans="1:24" x14ac:dyDescent="0.2">
      <c r="A208" s="227">
        <v>2019</v>
      </c>
      <c r="B208" s="227" t="s">
        <v>1472</v>
      </c>
      <c r="C208" s="228" t="s">
        <v>144</v>
      </c>
      <c r="D208" s="229"/>
      <c r="E208" s="229"/>
      <c r="F208" s="229" t="s">
        <v>144</v>
      </c>
      <c r="G208" s="228" t="s">
        <v>1340</v>
      </c>
      <c r="H208" s="230">
        <v>0</v>
      </c>
      <c r="I208" s="230">
        <v>3</v>
      </c>
      <c r="J208" s="231"/>
      <c r="K208" s="230">
        <v>72045</v>
      </c>
      <c r="L208" s="230">
        <v>0</v>
      </c>
      <c r="M208" s="230">
        <v>72045</v>
      </c>
      <c r="N208" s="231"/>
      <c r="O208" s="230">
        <v>25529</v>
      </c>
      <c r="P208" s="230">
        <v>0</v>
      </c>
      <c r="Q208" s="230">
        <v>25529</v>
      </c>
      <c r="R208" s="231"/>
      <c r="S208" s="230">
        <v>97574</v>
      </c>
      <c r="T208" s="230">
        <v>0</v>
      </c>
      <c r="U208" s="230">
        <v>97574</v>
      </c>
      <c r="V208" s="232"/>
    </row>
    <row r="209" spans="1:22" x14ac:dyDescent="0.2">
      <c r="A209" s="227">
        <v>2019</v>
      </c>
      <c r="B209" s="227" t="s">
        <v>1471</v>
      </c>
      <c r="C209" s="228" t="s">
        <v>30</v>
      </c>
      <c r="D209" s="229" t="s">
        <v>1489</v>
      </c>
      <c r="E209" s="229"/>
      <c r="F209" s="229" t="s">
        <v>30</v>
      </c>
      <c r="G209" s="228" t="s">
        <v>1341</v>
      </c>
      <c r="H209" s="230">
        <v>0</v>
      </c>
      <c r="I209" s="230">
        <v>5</v>
      </c>
      <c r="J209" s="231"/>
      <c r="K209" s="230">
        <v>119853.75</v>
      </c>
      <c r="L209" s="230">
        <v>0</v>
      </c>
      <c r="M209" s="230">
        <v>119853.75</v>
      </c>
      <c r="N209" s="231"/>
      <c r="O209" s="230">
        <v>42564.25</v>
      </c>
      <c r="P209" s="230">
        <v>0</v>
      </c>
      <c r="Q209" s="230">
        <v>42564.25</v>
      </c>
      <c r="R209" s="231"/>
      <c r="S209" s="230">
        <v>162418</v>
      </c>
      <c r="T209" s="230">
        <v>0</v>
      </c>
      <c r="U209" s="230">
        <v>162418</v>
      </c>
      <c r="V209" s="232"/>
    </row>
    <row r="210" spans="1:22" x14ac:dyDescent="0.2">
      <c r="A210" s="227">
        <v>2019</v>
      </c>
      <c r="B210" s="227" t="s">
        <v>1477</v>
      </c>
      <c r="C210" s="228" t="s">
        <v>187</v>
      </c>
      <c r="D210" s="229"/>
      <c r="E210" s="229"/>
      <c r="F210" s="229" t="s">
        <v>187</v>
      </c>
      <c r="G210" s="228" t="s">
        <v>1342</v>
      </c>
      <c r="H210" s="230">
        <v>3</v>
      </c>
      <c r="I210" s="230">
        <v>7</v>
      </c>
      <c r="J210" s="231"/>
      <c r="K210" s="230">
        <v>324077.25</v>
      </c>
      <c r="L210" s="230">
        <v>97223.18</v>
      </c>
      <c r="M210" s="230">
        <v>226854.07</v>
      </c>
      <c r="N210" s="231"/>
      <c r="O210" s="230">
        <v>115372.75</v>
      </c>
      <c r="P210" s="230">
        <v>34611.83</v>
      </c>
      <c r="Q210" s="230">
        <v>80760.92</v>
      </c>
      <c r="R210" s="231"/>
      <c r="S210" s="230">
        <v>439450</v>
      </c>
      <c r="T210" s="230">
        <v>131835.01</v>
      </c>
      <c r="U210" s="230">
        <v>307614.99</v>
      </c>
      <c r="V210" s="232"/>
    </row>
    <row r="211" spans="1:22" x14ac:dyDescent="0.2">
      <c r="A211" s="227">
        <v>2019</v>
      </c>
      <c r="B211" s="227" t="s">
        <v>1479</v>
      </c>
      <c r="C211" s="228" t="s">
        <v>232</v>
      </c>
      <c r="D211" s="229" t="s">
        <v>316</v>
      </c>
      <c r="E211" s="229"/>
      <c r="F211" s="229" t="s">
        <v>232</v>
      </c>
      <c r="G211" s="228" t="s">
        <v>1343</v>
      </c>
      <c r="H211" s="230">
        <v>3</v>
      </c>
      <c r="I211" s="230">
        <v>13</v>
      </c>
      <c r="J211" s="231"/>
      <c r="K211" s="230">
        <v>381015</v>
      </c>
      <c r="L211" s="230">
        <v>38215.410000000003</v>
      </c>
      <c r="M211" s="230">
        <v>342799.58999999997</v>
      </c>
      <c r="N211" s="231"/>
      <c r="O211" s="230">
        <v>141158</v>
      </c>
      <c r="P211" s="230">
        <v>13826.72</v>
      </c>
      <c r="Q211" s="230">
        <v>127331.28</v>
      </c>
      <c r="R211" s="231"/>
      <c r="S211" s="230">
        <v>522173</v>
      </c>
      <c r="T211" s="230">
        <v>52042.130000000005</v>
      </c>
      <c r="U211" s="230">
        <v>470130.87</v>
      </c>
      <c r="V211" s="232"/>
    </row>
    <row r="212" spans="1:22" x14ac:dyDescent="0.2">
      <c r="A212" s="227">
        <v>2019</v>
      </c>
      <c r="B212" s="227" t="s">
        <v>1471</v>
      </c>
      <c r="C212" s="228" t="s">
        <v>60</v>
      </c>
      <c r="D212" s="229"/>
      <c r="E212" s="229"/>
      <c r="F212" s="229" t="s">
        <v>60</v>
      </c>
      <c r="G212" s="228" t="s">
        <v>1344</v>
      </c>
      <c r="H212" s="230">
        <v>0</v>
      </c>
      <c r="I212" s="230">
        <v>9</v>
      </c>
      <c r="J212" s="231"/>
      <c r="K212" s="230">
        <v>177074.25</v>
      </c>
      <c r="L212" s="230">
        <v>0</v>
      </c>
      <c r="M212" s="230">
        <v>177074.25</v>
      </c>
      <c r="N212" s="231"/>
      <c r="O212" s="230">
        <v>66763.75</v>
      </c>
      <c r="P212" s="230">
        <v>0</v>
      </c>
      <c r="Q212" s="230">
        <v>66763.75</v>
      </c>
      <c r="R212" s="231"/>
      <c r="S212" s="230">
        <v>243838</v>
      </c>
      <c r="T212" s="230">
        <v>0</v>
      </c>
      <c r="U212" s="230">
        <v>243838</v>
      </c>
      <c r="V212" s="232"/>
    </row>
    <row r="213" spans="1:22" x14ac:dyDescent="0.2">
      <c r="A213" s="227">
        <v>2019</v>
      </c>
      <c r="B213" s="227" t="s">
        <v>1475</v>
      </c>
      <c r="C213" s="228" t="s">
        <v>236</v>
      </c>
      <c r="D213" s="229"/>
      <c r="E213" s="229"/>
      <c r="F213" s="229" t="s">
        <v>236</v>
      </c>
      <c r="G213" s="228" t="s">
        <v>1345</v>
      </c>
      <c r="H213" s="230">
        <v>0</v>
      </c>
      <c r="I213" s="230">
        <v>6</v>
      </c>
      <c r="J213" s="231"/>
      <c r="K213" s="230">
        <v>65874.75</v>
      </c>
      <c r="L213" s="230">
        <v>0</v>
      </c>
      <c r="M213" s="230">
        <v>65874.75</v>
      </c>
      <c r="N213" s="231"/>
      <c r="O213" s="230">
        <v>23209.25</v>
      </c>
      <c r="P213" s="230">
        <v>0</v>
      </c>
      <c r="Q213" s="230">
        <v>23209.25</v>
      </c>
      <c r="R213" s="231"/>
      <c r="S213" s="230">
        <v>89084</v>
      </c>
      <c r="T213" s="230">
        <v>0</v>
      </c>
      <c r="U213" s="230">
        <v>89084</v>
      </c>
      <c r="V213" s="232"/>
    </row>
    <row r="214" spans="1:22" x14ac:dyDescent="0.2">
      <c r="A214" s="227">
        <v>2019</v>
      </c>
      <c r="B214" s="227" t="s">
        <v>1477</v>
      </c>
      <c r="C214" s="228" t="s">
        <v>235</v>
      </c>
      <c r="D214" s="229"/>
      <c r="E214" s="229"/>
      <c r="F214" s="229" t="s">
        <v>235</v>
      </c>
      <c r="G214" s="228" t="s">
        <v>1346</v>
      </c>
      <c r="H214" s="230">
        <v>0</v>
      </c>
      <c r="I214" s="230">
        <v>5</v>
      </c>
      <c r="J214" s="231"/>
      <c r="K214" s="230">
        <v>135860.25</v>
      </c>
      <c r="L214" s="230">
        <v>0</v>
      </c>
      <c r="M214" s="230">
        <v>135860.25</v>
      </c>
      <c r="N214" s="231"/>
      <c r="O214" s="230">
        <v>47234.75</v>
      </c>
      <c r="P214" s="230">
        <v>0</v>
      </c>
      <c r="Q214" s="230">
        <v>47234.75</v>
      </c>
      <c r="R214" s="231"/>
      <c r="S214" s="230">
        <v>183095</v>
      </c>
      <c r="T214" s="230">
        <v>0</v>
      </c>
      <c r="U214" s="230">
        <v>183095</v>
      </c>
      <c r="V214" s="232"/>
    </row>
    <row r="215" spans="1:22" x14ac:dyDescent="0.2">
      <c r="A215" s="227">
        <v>2019</v>
      </c>
      <c r="B215" s="227" t="s">
        <v>1476</v>
      </c>
      <c r="C215" s="228" t="s">
        <v>234</v>
      </c>
      <c r="D215" s="229"/>
      <c r="E215" s="229"/>
      <c r="F215" s="229" t="s">
        <v>234</v>
      </c>
      <c r="G215" s="228" t="s">
        <v>1347</v>
      </c>
      <c r="H215" s="230">
        <v>0</v>
      </c>
      <c r="I215" s="230">
        <v>3</v>
      </c>
      <c r="J215" s="231"/>
      <c r="K215" s="230">
        <v>54729.75</v>
      </c>
      <c r="L215" s="230">
        <v>0</v>
      </c>
      <c r="M215" s="230">
        <v>54729.75</v>
      </c>
      <c r="N215" s="231"/>
      <c r="O215" s="230">
        <v>25335.25</v>
      </c>
      <c r="P215" s="230">
        <v>0</v>
      </c>
      <c r="Q215" s="230">
        <v>25335.25</v>
      </c>
      <c r="R215" s="231"/>
      <c r="S215" s="230">
        <v>80065</v>
      </c>
      <c r="T215" s="230">
        <v>0</v>
      </c>
      <c r="U215" s="230">
        <v>80065</v>
      </c>
      <c r="V215" s="232"/>
    </row>
    <row r="216" spans="1:22" x14ac:dyDescent="0.2">
      <c r="A216" s="227">
        <v>2019</v>
      </c>
      <c r="B216" s="227" t="s">
        <v>1470</v>
      </c>
      <c r="C216" s="228" t="s">
        <v>237</v>
      </c>
      <c r="D216" s="229"/>
      <c r="E216" s="229"/>
      <c r="F216" s="229" t="s">
        <v>237</v>
      </c>
      <c r="G216" s="228" t="s">
        <v>1348</v>
      </c>
      <c r="H216" s="230">
        <v>0</v>
      </c>
      <c r="I216" s="230">
        <v>1</v>
      </c>
      <c r="J216" s="231"/>
      <c r="K216" s="230">
        <v>92153.25</v>
      </c>
      <c r="L216" s="230">
        <v>0</v>
      </c>
      <c r="M216" s="230">
        <v>92153.25</v>
      </c>
      <c r="N216" s="231"/>
      <c r="O216" s="230">
        <v>34689.75</v>
      </c>
      <c r="P216" s="230">
        <v>0</v>
      </c>
      <c r="Q216" s="230">
        <v>34689.75</v>
      </c>
      <c r="R216" s="231"/>
      <c r="S216" s="230">
        <v>126843</v>
      </c>
      <c r="T216" s="230">
        <v>0</v>
      </c>
      <c r="U216" s="230">
        <v>126843</v>
      </c>
      <c r="V216" s="232"/>
    </row>
    <row r="217" spans="1:22" x14ac:dyDescent="0.2">
      <c r="A217" s="227">
        <v>2019</v>
      </c>
      <c r="B217" s="227" t="s">
        <v>1480</v>
      </c>
      <c r="C217" s="228" t="s">
        <v>238</v>
      </c>
      <c r="D217" s="229"/>
      <c r="E217" s="229"/>
      <c r="F217" s="229" t="s">
        <v>238</v>
      </c>
      <c r="G217" s="228" t="s">
        <v>1349</v>
      </c>
      <c r="H217" s="230">
        <v>0</v>
      </c>
      <c r="I217" s="230">
        <v>1</v>
      </c>
      <c r="J217" s="231"/>
      <c r="K217" s="230">
        <v>163611</v>
      </c>
      <c r="L217" s="230">
        <v>0</v>
      </c>
      <c r="M217" s="230">
        <v>163611</v>
      </c>
      <c r="N217" s="231"/>
      <c r="O217" s="230">
        <v>59810</v>
      </c>
      <c r="P217" s="230">
        <v>0</v>
      </c>
      <c r="Q217" s="230">
        <v>59810</v>
      </c>
      <c r="R217" s="231"/>
      <c r="S217" s="230">
        <v>223421</v>
      </c>
      <c r="T217" s="230">
        <v>0</v>
      </c>
      <c r="U217" s="230">
        <v>223421</v>
      </c>
      <c r="V217" s="232"/>
    </row>
    <row r="218" spans="1:22" x14ac:dyDescent="0.2">
      <c r="A218" s="227">
        <v>2019</v>
      </c>
      <c r="B218" s="227" t="s">
        <v>1471</v>
      </c>
      <c r="C218" s="228" t="s">
        <v>239</v>
      </c>
      <c r="D218" s="229"/>
      <c r="E218" s="229"/>
      <c r="F218" s="229" t="s">
        <v>239</v>
      </c>
      <c r="G218" s="228" t="s">
        <v>1350</v>
      </c>
      <c r="H218" s="230">
        <v>0</v>
      </c>
      <c r="I218" s="230">
        <v>8</v>
      </c>
      <c r="J218" s="231"/>
      <c r="K218" s="230">
        <v>150316.5</v>
      </c>
      <c r="L218" s="230">
        <v>0</v>
      </c>
      <c r="M218" s="230">
        <v>150316.5</v>
      </c>
      <c r="N218" s="231"/>
      <c r="O218" s="230">
        <v>53835.5</v>
      </c>
      <c r="P218" s="230">
        <v>0</v>
      </c>
      <c r="Q218" s="230">
        <v>53835.5</v>
      </c>
      <c r="R218" s="231"/>
      <c r="S218" s="230">
        <v>204152</v>
      </c>
      <c r="T218" s="230">
        <v>0</v>
      </c>
      <c r="U218" s="230">
        <v>204152</v>
      </c>
      <c r="V218" s="232"/>
    </row>
    <row r="219" spans="1:22" x14ac:dyDescent="0.2">
      <c r="A219" s="227">
        <v>2019</v>
      </c>
      <c r="B219" s="227" t="s">
        <v>1475</v>
      </c>
      <c r="C219" s="228" t="s">
        <v>37</v>
      </c>
      <c r="D219" s="229"/>
      <c r="E219" s="229"/>
      <c r="F219" s="229" t="s">
        <v>37</v>
      </c>
      <c r="G219" s="228" t="s">
        <v>1351</v>
      </c>
      <c r="H219" s="230">
        <v>4</v>
      </c>
      <c r="I219" s="230">
        <v>4</v>
      </c>
      <c r="J219" s="231"/>
      <c r="K219" s="230">
        <v>167023.5</v>
      </c>
      <c r="L219" s="230">
        <v>83511.75</v>
      </c>
      <c r="M219" s="230">
        <v>83511.75</v>
      </c>
      <c r="N219" s="231"/>
      <c r="O219" s="230">
        <v>58263.5</v>
      </c>
      <c r="P219" s="230">
        <v>29131.75</v>
      </c>
      <c r="Q219" s="230">
        <v>29131.75</v>
      </c>
      <c r="R219" s="231"/>
      <c r="S219" s="230">
        <v>225287</v>
      </c>
      <c r="T219" s="230">
        <v>112643.5</v>
      </c>
      <c r="U219" s="230">
        <v>112643.5</v>
      </c>
      <c r="V219" s="232"/>
    </row>
    <row r="220" spans="1:22" x14ac:dyDescent="0.2">
      <c r="A220" s="227">
        <v>2019</v>
      </c>
      <c r="B220" s="227" t="s">
        <v>1479</v>
      </c>
      <c r="C220" s="228" t="s">
        <v>240</v>
      </c>
      <c r="D220" s="229"/>
      <c r="E220" s="229"/>
      <c r="F220" s="229" t="s">
        <v>240</v>
      </c>
      <c r="G220" s="228" t="s">
        <v>1352</v>
      </c>
      <c r="H220" s="230">
        <v>0</v>
      </c>
      <c r="I220" s="230">
        <v>10</v>
      </c>
      <c r="J220" s="231"/>
      <c r="K220" s="230">
        <v>99432</v>
      </c>
      <c r="L220" s="230">
        <v>0</v>
      </c>
      <c r="M220" s="230">
        <v>99432</v>
      </c>
      <c r="N220" s="231"/>
      <c r="O220" s="230">
        <v>37706</v>
      </c>
      <c r="P220" s="230">
        <v>0</v>
      </c>
      <c r="Q220" s="230">
        <v>37706</v>
      </c>
      <c r="R220" s="231"/>
      <c r="S220" s="230">
        <v>137138</v>
      </c>
      <c r="T220" s="230">
        <v>0</v>
      </c>
      <c r="U220" s="230">
        <v>137138</v>
      </c>
      <c r="V220" s="232"/>
    </row>
    <row r="221" spans="1:22" x14ac:dyDescent="0.2">
      <c r="A221" s="227">
        <v>2019</v>
      </c>
      <c r="B221" s="227" t="s">
        <v>1480</v>
      </c>
      <c r="C221" s="228" t="s">
        <v>231</v>
      </c>
      <c r="D221" s="229"/>
      <c r="E221" s="229"/>
      <c r="F221" s="229" t="s">
        <v>231</v>
      </c>
      <c r="G221" s="228" t="s">
        <v>1353</v>
      </c>
      <c r="H221" s="230">
        <v>0</v>
      </c>
      <c r="I221" s="230">
        <v>10</v>
      </c>
      <c r="J221" s="231"/>
      <c r="K221" s="230">
        <v>210804</v>
      </c>
      <c r="L221" s="230">
        <v>0</v>
      </c>
      <c r="M221" s="230">
        <v>210804</v>
      </c>
      <c r="N221" s="231"/>
      <c r="O221" s="230">
        <v>73810</v>
      </c>
      <c r="P221" s="230">
        <v>0</v>
      </c>
      <c r="Q221" s="230">
        <v>73810</v>
      </c>
      <c r="R221" s="231"/>
      <c r="S221" s="230">
        <v>284614</v>
      </c>
      <c r="T221" s="230">
        <v>0</v>
      </c>
      <c r="U221" s="230">
        <v>284614</v>
      </c>
      <c r="V221" s="232"/>
    </row>
    <row r="222" spans="1:22" x14ac:dyDescent="0.2">
      <c r="A222" s="227">
        <v>2019</v>
      </c>
      <c r="B222" s="227" t="s">
        <v>1475</v>
      </c>
      <c r="C222" s="228" t="s">
        <v>233</v>
      </c>
      <c r="D222" s="229"/>
      <c r="E222" s="229"/>
      <c r="F222" s="229" t="s">
        <v>233</v>
      </c>
      <c r="G222" s="228" t="s">
        <v>1354</v>
      </c>
      <c r="H222" s="230">
        <v>1</v>
      </c>
      <c r="I222" s="230">
        <v>4</v>
      </c>
      <c r="J222" s="231"/>
      <c r="K222" s="230">
        <v>40392</v>
      </c>
      <c r="L222" s="230">
        <v>8078.4</v>
      </c>
      <c r="M222" s="230">
        <v>32313.599999999999</v>
      </c>
      <c r="N222" s="231"/>
      <c r="O222" s="230">
        <v>15360</v>
      </c>
      <c r="P222" s="230">
        <v>3072</v>
      </c>
      <c r="Q222" s="230">
        <v>12288</v>
      </c>
      <c r="R222" s="231"/>
      <c r="S222" s="230">
        <v>55752</v>
      </c>
      <c r="T222" s="230">
        <v>11150.4</v>
      </c>
      <c r="U222" s="230">
        <v>44601.599999999999</v>
      </c>
      <c r="V222" s="232"/>
    </row>
    <row r="223" spans="1:22" x14ac:dyDescent="0.2">
      <c r="A223" s="227">
        <v>2019</v>
      </c>
      <c r="B223" s="227" t="s">
        <v>1471</v>
      </c>
      <c r="C223" s="228" t="s">
        <v>241</v>
      </c>
      <c r="D223" s="229"/>
      <c r="E223" s="229"/>
      <c r="F223" s="229" t="s">
        <v>241</v>
      </c>
      <c r="G223" s="228" t="s">
        <v>1355</v>
      </c>
      <c r="H223" s="230">
        <v>0</v>
      </c>
      <c r="I223" s="230">
        <v>5</v>
      </c>
      <c r="J223" s="231"/>
      <c r="K223" s="230">
        <v>106476</v>
      </c>
      <c r="L223" s="230">
        <v>0</v>
      </c>
      <c r="M223" s="230">
        <v>106476</v>
      </c>
      <c r="N223" s="231"/>
      <c r="O223" s="230">
        <v>37360</v>
      </c>
      <c r="P223" s="230">
        <v>0</v>
      </c>
      <c r="Q223" s="230">
        <v>37360</v>
      </c>
      <c r="R223" s="231"/>
      <c r="S223" s="230">
        <v>143836</v>
      </c>
      <c r="T223" s="230">
        <v>0</v>
      </c>
      <c r="U223" s="230">
        <v>143836</v>
      </c>
      <c r="V223" s="232"/>
    </row>
    <row r="224" spans="1:22" x14ac:dyDescent="0.2">
      <c r="A224" s="227">
        <v>2019</v>
      </c>
      <c r="B224" s="227" t="s">
        <v>1470</v>
      </c>
      <c r="C224" s="228" t="s">
        <v>242</v>
      </c>
      <c r="D224" s="229"/>
      <c r="E224" s="229"/>
      <c r="F224" s="229" t="s">
        <v>242</v>
      </c>
      <c r="G224" s="228" t="s">
        <v>1356</v>
      </c>
      <c r="H224" s="230">
        <v>0</v>
      </c>
      <c r="I224" s="230">
        <v>0</v>
      </c>
      <c r="J224" s="231"/>
      <c r="K224" s="230">
        <v>0</v>
      </c>
      <c r="L224" s="230">
        <v>0</v>
      </c>
      <c r="M224" s="230">
        <v>0</v>
      </c>
      <c r="N224" s="231"/>
      <c r="O224" s="230">
        <v>0</v>
      </c>
      <c r="P224" s="230">
        <v>0</v>
      </c>
      <c r="Q224" s="230">
        <v>0</v>
      </c>
      <c r="R224" s="231"/>
      <c r="S224" s="230">
        <v>0</v>
      </c>
      <c r="T224" s="230">
        <v>0</v>
      </c>
      <c r="U224" s="230">
        <v>0</v>
      </c>
      <c r="V224" s="232"/>
    </row>
    <row r="225" spans="1:22" x14ac:dyDescent="0.2">
      <c r="A225" s="227">
        <v>2019</v>
      </c>
      <c r="B225" s="227" t="s">
        <v>1474</v>
      </c>
      <c r="C225" s="228" t="s">
        <v>244</v>
      </c>
      <c r="D225" s="229" t="s">
        <v>44</v>
      </c>
      <c r="E225" s="229"/>
      <c r="F225" s="229" t="s">
        <v>244</v>
      </c>
      <c r="G225" s="228" t="s">
        <v>1357</v>
      </c>
      <c r="H225" s="230">
        <v>1</v>
      </c>
      <c r="I225" s="230">
        <v>2</v>
      </c>
      <c r="J225" s="231"/>
      <c r="K225" s="230">
        <v>59910.75</v>
      </c>
      <c r="L225" s="230">
        <v>13179</v>
      </c>
      <c r="M225" s="230">
        <v>46731.75</v>
      </c>
      <c r="N225" s="231"/>
      <c r="O225" s="230">
        <v>20957.25</v>
      </c>
      <c r="P225" s="230">
        <v>4735</v>
      </c>
      <c r="Q225" s="230">
        <v>16222.25</v>
      </c>
      <c r="R225" s="231"/>
      <c r="S225" s="230">
        <v>80868</v>
      </c>
      <c r="T225" s="230">
        <v>17914</v>
      </c>
      <c r="U225" s="230">
        <v>62954</v>
      </c>
      <c r="V225" s="232"/>
    </row>
    <row r="226" spans="1:22" x14ac:dyDescent="0.2">
      <c r="A226" s="227">
        <v>2019</v>
      </c>
      <c r="B226" s="227" t="s">
        <v>1479</v>
      </c>
      <c r="C226" s="228" t="s">
        <v>245</v>
      </c>
      <c r="D226" s="229"/>
      <c r="E226" s="229"/>
      <c r="F226" s="229" t="s">
        <v>245</v>
      </c>
      <c r="G226" s="228" t="s">
        <v>1358</v>
      </c>
      <c r="H226" s="230">
        <v>2</v>
      </c>
      <c r="I226" s="230">
        <v>5</v>
      </c>
      <c r="J226" s="231"/>
      <c r="K226" s="230">
        <v>276075.75</v>
      </c>
      <c r="L226" s="230">
        <v>78878.789999999994</v>
      </c>
      <c r="M226" s="230">
        <v>197196.96000000002</v>
      </c>
      <c r="N226" s="231"/>
      <c r="O226" s="230">
        <v>96806.25</v>
      </c>
      <c r="P226" s="230">
        <v>27658.93</v>
      </c>
      <c r="Q226" s="230">
        <v>69147.320000000007</v>
      </c>
      <c r="R226" s="231"/>
      <c r="S226" s="230">
        <v>372882</v>
      </c>
      <c r="T226" s="230">
        <v>106537.72</v>
      </c>
      <c r="U226" s="230">
        <v>266344.28000000003</v>
      </c>
      <c r="V226" s="232"/>
    </row>
    <row r="227" spans="1:22" x14ac:dyDescent="0.2">
      <c r="A227" s="227">
        <v>2019</v>
      </c>
      <c r="B227" s="227" t="s">
        <v>1470</v>
      </c>
      <c r="C227" s="228" t="s">
        <v>246</v>
      </c>
      <c r="D227" s="229"/>
      <c r="E227" s="229"/>
      <c r="F227" s="229" t="s">
        <v>246</v>
      </c>
      <c r="G227" s="228" t="s">
        <v>1359</v>
      </c>
      <c r="H227" s="230">
        <v>0</v>
      </c>
      <c r="I227" s="230">
        <v>6</v>
      </c>
      <c r="J227" s="231"/>
      <c r="K227" s="230">
        <v>164888.25</v>
      </c>
      <c r="L227" s="230">
        <v>0</v>
      </c>
      <c r="M227" s="230">
        <v>164888.25</v>
      </c>
      <c r="N227" s="231"/>
      <c r="O227" s="230">
        <v>63131.75</v>
      </c>
      <c r="P227" s="230">
        <v>0</v>
      </c>
      <c r="Q227" s="230">
        <v>63131.75</v>
      </c>
      <c r="R227" s="231"/>
      <c r="S227" s="230">
        <v>228020</v>
      </c>
      <c r="T227" s="230">
        <v>0</v>
      </c>
      <c r="U227" s="230">
        <v>228020</v>
      </c>
      <c r="V227" s="232"/>
    </row>
    <row r="228" spans="1:22" x14ac:dyDescent="0.2">
      <c r="A228" s="227">
        <v>2019</v>
      </c>
      <c r="B228" s="227" t="s">
        <v>1475</v>
      </c>
      <c r="C228" s="228" t="s">
        <v>247</v>
      </c>
      <c r="D228" s="229"/>
      <c r="E228" s="229"/>
      <c r="F228" s="229" t="s">
        <v>247</v>
      </c>
      <c r="G228" s="228" t="s">
        <v>1360</v>
      </c>
      <c r="H228" s="230">
        <v>0</v>
      </c>
      <c r="I228" s="230">
        <v>2</v>
      </c>
      <c r="J228" s="231"/>
      <c r="K228" s="230">
        <v>123591</v>
      </c>
      <c r="L228" s="230">
        <v>0</v>
      </c>
      <c r="M228" s="230">
        <v>123591</v>
      </c>
      <c r="N228" s="231"/>
      <c r="O228" s="230">
        <v>52898</v>
      </c>
      <c r="P228" s="230">
        <v>0</v>
      </c>
      <c r="Q228" s="230">
        <v>52898</v>
      </c>
      <c r="R228" s="231"/>
      <c r="S228" s="230">
        <v>176489</v>
      </c>
      <c r="T228" s="230">
        <v>0</v>
      </c>
      <c r="U228" s="230">
        <v>176489</v>
      </c>
      <c r="V228" s="232"/>
    </row>
    <row r="229" spans="1:22" x14ac:dyDescent="0.2">
      <c r="A229" s="227">
        <v>2019</v>
      </c>
      <c r="B229" s="227" t="s">
        <v>1477</v>
      </c>
      <c r="C229" s="228" t="s">
        <v>248</v>
      </c>
      <c r="D229" s="229"/>
      <c r="E229" s="229"/>
      <c r="F229" s="229" t="s">
        <v>248</v>
      </c>
      <c r="G229" s="228" t="s">
        <v>1361</v>
      </c>
      <c r="H229" s="230">
        <v>0</v>
      </c>
      <c r="I229" s="230">
        <v>0</v>
      </c>
      <c r="J229" s="231"/>
      <c r="K229" s="230">
        <v>0</v>
      </c>
      <c r="L229" s="230">
        <v>0</v>
      </c>
      <c r="M229" s="230">
        <v>0</v>
      </c>
      <c r="N229" s="231"/>
      <c r="O229" s="230">
        <v>0</v>
      </c>
      <c r="P229" s="230">
        <v>0</v>
      </c>
      <c r="Q229" s="230">
        <v>0</v>
      </c>
      <c r="R229" s="231"/>
      <c r="S229" s="230">
        <v>0</v>
      </c>
      <c r="T229" s="230">
        <v>0</v>
      </c>
      <c r="U229" s="230">
        <v>0</v>
      </c>
      <c r="V229" s="232"/>
    </row>
    <row r="230" spans="1:22" x14ac:dyDescent="0.2">
      <c r="A230" s="227">
        <v>2019</v>
      </c>
      <c r="B230" s="227" t="s">
        <v>1472</v>
      </c>
      <c r="C230" s="228" t="s">
        <v>249</v>
      </c>
      <c r="D230" s="229"/>
      <c r="E230" s="229"/>
      <c r="F230" s="229" t="s">
        <v>249</v>
      </c>
      <c r="G230" s="228" t="s">
        <v>1362</v>
      </c>
      <c r="H230" s="230">
        <v>5</v>
      </c>
      <c r="I230" s="230">
        <v>10</v>
      </c>
      <c r="J230" s="231"/>
      <c r="K230" s="230">
        <v>111150</v>
      </c>
      <c r="L230" s="230">
        <v>37050</v>
      </c>
      <c r="M230" s="230">
        <v>74100</v>
      </c>
      <c r="N230" s="231"/>
      <c r="O230" s="230">
        <v>41152</v>
      </c>
      <c r="P230" s="230">
        <v>13717.33</v>
      </c>
      <c r="Q230" s="230">
        <v>27434.67</v>
      </c>
      <c r="R230" s="231"/>
      <c r="S230" s="230">
        <v>152302</v>
      </c>
      <c r="T230" s="230">
        <v>50767.33</v>
      </c>
      <c r="U230" s="230">
        <v>101534.67</v>
      </c>
      <c r="V230" s="232"/>
    </row>
    <row r="231" spans="1:22" x14ac:dyDescent="0.2">
      <c r="A231" s="227">
        <v>2019</v>
      </c>
      <c r="B231" s="227" t="s">
        <v>1471</v>
      </c>
      <c r="C231" s="228" t="s">
        <v>250</v>
      </c>
      <c r="D231" s="229"/>
      <c r="E231" s="229"/>
      <c r="F231" s="229" t="s">
        <v>250</v>
      </c>
      <c r="G231" s="228" t="s">
        <v>1363</v>
      </c>
      <c r="H231" s="230">
        <v>1</v>
      </c>
      <c r="I231" s="230">
        <v>1</v>
      </c>
      <c r="J231" s="231"/>
      <c r="K231" s="230">
        <v>82755.75</v>
      </c>
      <c r="L231" s="230">
        <v>41377.879999999997</v>
      </c>
      <c r="M231" s="230">
        <v>41377.870000000003</v>
      </c>
      <c r="N231" s="231"/>
      <c r="O231" s="230">
        <v>29177.25</v>
      </c>
      <c r="P231" s="230">
        <v>14588.63</v>
      </c>
      <c r="Q231" s="230">
        <v>14588.62</v>
      </c>
      <c r="R231" s="231"/>
      <c r="S231" s="230">
        <v>111933</v>
      </c>
      <c r="T231" s="230">
        <v>55966.509999999995</v>
      </c>
      <c r="U231" s="230">
        <v>55966.490000000005</v>
      </c>
      <c r="V231" s="232"/>
    </row>
    <row r="232" spans="1:22" x14ac:dyDescent="0.2">
      <c r="A232" s="227">
        <v>2019</v>
      </c>
      <c r="B232" s="227" t="s">
        <v>1476</v>
      </c>
      <c r="C232" s="228" t="s">
        <v>251</v>
      </c>
      <c r="D232" s="229"/>
      <c r="E232" s="229"/>
      <c r="F232" s="229" t="s">
        <v>251</v>
      </c>
      <c r="G232" s="228" t="s">
        <v>1364</v>
      </c>
      <c r="H232" s="230">
        <v>0</v>
      </c>
      <c r="I232" s="230">
        <v>4</v>
      </c>
      <c r="J232" s="231"/>
      <c r="K232" s="230">
        <v>384261</v>
      </c>
      <c r="L232" s="230">
        <v>0</v>
      </c>
      <c r="M232" s="230">
        <v>384261</v>
      </c>
      <c r="N232" s="231"/>
      <c r="O232" s="230">
        <v>141181</v>
      </c>
      <c r="P232" s="230">
        <v>0</v>
      </c>
      <c r="Q232" s="230">
        <v>141181</v>
      </c>
      <c r="R232" s="231"/>
      <c r="S232" s="230">
        <v>525442</v>
      </c>
      <c r="T232" s="230">
        <v>0</v>
      </c>
      <c r="U232" s="230">
        <v>525442</v>
      </c>
      <c r="V232" s="232"/>
    </row>
    <row r="233" spans="1:22" x14ac:dyDescent="0.2">
      <c r="A233" s="227">
        <v>2019</v>
      </c>
      <c r="B233" s="227" t="s">
        <v>1476</v>
      </c>
      <c r="C233" s="228" t="s">
        <v>252</v>
      </c>
      <c r="D233" s="229"/>
      <c r="E233" s="229"/>
      <c r="F233" s="229" t="s">
        <v>252</v>
      </c>
      <c r="G233" s="228" t="s">
        <v>1365</v>
      </c>
      <c r="H233" s="230">
        <v>0</v>
      </c>
      <c r="I233" s="230">
        <v>0</v>
      </c>
      <c r="J233" s="231"/>
      <c r="K233" s="230">
        <v>0</v>
      </c>
      <c r="L233" s="230">
        <v>0</v>
      </c>
      <c r="M233" s="230">
        <v>0</v>
      </c>
      <c r="N233" s="231"/>
      <c r="O233" s="230">
        <v>0</v>
      </c>
      <c r="P233" s="230">
        <v>0</v>
      </c>
      <c r="Q233" s="230">
        <v>0</v>
      </c>
      <c r="R233" s="231"/>
      <c r="S233" s="230">
        <v>0</v>
      </c>
      <c r="T233" s="230">
        <v>0</v>
      </c>
      <c r="U233" s="230">
        <v>0</v>
      </c>
      <c r="V233" s="232"/>
    </row>
    <row r="234" spans="1:22" x14ac:dyDescent="0.2">
      <c r="A234" s="227">
        <v>2019</v>
      </c>
      <c r="B234" s="227" t="s">
        <v>1470</v>
      </c>
      <c r="C234" s="228" t="s">
        <v>253</v>
      </c>
      <c r="D234" s="229"/>
      <c r="E234" s="229"/>
      <c r="F234" s="229" t="s">
        <v>253</v>
      </c>
      <c r="G234" s="228" t="s">
        <v>1366</v>
      </c>
      <c r="H234" s="230">
        <v>0</v>
      </c>
      <c r="I234" s="230">
        <v>4</v>
      </c>
      <c r="J234" s="231"/>
      <c r="K234" s="230">
        <v>150627.75</v>
      </c>
      <c r="L234" s="230">
        <v>0</v>
      </c>
      <c r="M234" s="230">
        <v>150627.75</v>
      </c>
      <c r="N234" s="231"/>
      <c r="O234" s="230">
        <v>59887.25</v>
      </c>
      <c r="P234" s="230">
        <v>0</v>
      </c>
      <c r="Q234" s="230">
        <v>59887.25</v>
      </c>
      <c r="R234" s="231"/>
      <c r="S234" s="230">
        <v>210515</v>
      </c>
      <c r="T234" s="230">
        <v>0</v>
      </c>
      <c r="U234" s="230">
        <v>210515</v>
      </c>
      <c r="V234" s="232"/>
    </row>
    <row r="235" spans="1:22" x14ac:dyDescent="0.2">
      <c r="A235" s="227">
        <v>2019</v>
      </c>
      <c r="B235" s="227" t="s">
        <v>1475</v>
      </c>
      <c r="C235" s="228" t="s">
        <v>254</v>
      </c>
      <c r="D235" s="229"/>
      <c r="E235" s="229"/>
      <c r="F235" s="229" t="s">
        <v>254</v>
      </c>
      <c r="G235" s="228" t="s">
        <v>1367</v>
      </c>
      <c r="H235" s="230">
        <v>0</v>
      </c>
      <c r="I235" s="230">
        <v>5</v>
      </c>
      <c r="J235" s="231"/>
      <c r="K235" s="230">
        <v>34206.75</v>
      </c>
      <c r="L235" s="230">
        <v>0</v>
      </c>
      <c r="M235" s="230">
        <v>34206.75</v>
      </c>
      <c r="N235" s="231"/>
      <c r="O235" s="230">
        <v>11579.25</v>
      </c>
      <c r="P235" s="230">
        <v>0</v>
      </c>
      <c r="Q235" s="230">
        <v>11579.25</v>
      </c>
      <c r="R235" s="231"/>
      <c r="S235" s="230">
        <v>45786</v>
      </c>
      <c r="T235" s="230">
        <v>0</v>
      </c>
      <c r="U235" s="230">
        <v>45786</v>
      </c>
      <c r="V235" s="232"/>
    </row>
    <row r="236" spans="1:22" x14ac:dyDescent="0.2">
      <c r="A236" s="227">
        <v>2019</v>
      </c>
      <c r="B236" s="227" t="s">
        <v>1470</v>
      </c>
      <c r="C236" s="228" t="s">
        <v>263</v>
      </c>
      <c r="D236" s="229"/>
      <c r="E236" s="229"/>
      <c r="F236" s="229" t="s">
        <v>704</v>
      </c>
      <c r="G236" s="228" t="s">
        <v>6</v>
      </c>
      <c r="H236" s="230">
        <v>0</v>
      </c>
      <c r="I236" s="230">
        <v>5</v>
      </c>
      <c r="J236" s="231"/>
      <c r="K236" s="230">
        <v>228629.25</v>
      </c>
      <c r="L236" s="230">
        <v>0</v>
      </c>
      <c r="M236" s="230">
        <v>228629.25</v>
      </c>
      <c r="N236" s="231"/>
      <c r="O236" s="230">
        <v>86859.75</v>
      </c>
      <c r="P236" s="230">
        <v>0</v>
      </c>
      <c r="Q236" s="230">
        <v>86859.75</v>
      </c>
      <c r="R236" s="231"/>
      <c r="S236" s="230">
        <v>315489</v>
      </c>
      <c r="T236" s="230">
        <v>0</v>
      </c>
      <c r="U236" s="230">
        <v>315489</v>
      </c>
      <c r="V236" s="232"/>
    </row>
    <row r="237" spans="1:22" x14ac:dyDescent="0.2">
      <c r="A237" s="227">
        <v>2019</v>
      </c>
      <c r="B237" s="227" t="s">
        <v>1476</v>
      </c>
      <c r="C237" s="228" t="s">
        <v>256</v>
      </c>
      <c r="D237" s="229"/>
      <c r="E237" s="229"/>
      <c r="F237" s="229" t="s">
        <v>256</v>
      </c>
      <c r="G237" s="228" t="s">
        <v>1368</v>
      </c>
      <c r="H237" s="230">
        <v>3</v>
      </c>
      <c r="I237" s="230">
        <v>4</v>
      </c>
      <c r="J237" s="231"/>
      <c r="K237" s="230">
        <v>168795</v>
      </c>
      <c r="L237" s="230">
        <v>72340.710000000006</v>
      </c>
      <c r="M237" s="230">
        <v>96454.29</v>
      </c>
      <c r="N237" s="231"/>
      <c r="O237" s="230">
        <v>62541</v>
      </c>
      <c r="P237" s="230">
        <v>26803.29</v>
      </c>
      <c r="Q237" s="230">
        <v>35737.71</v>
      </c>
      <c r="R237" s="231"/>
      <c r="S237" s="230">
        <v>231336</v>
      </c>
      <c r="T237" s="230">
        <v>99144</v>
      </c>
      <c r="U237" s="230">
        <v>132192</v>
      </c>
      <c r="V237" s="232"/>
    </row>
    <row r="238" spans="1:22" x14ac:dyDescent="0.2">
      <c r="A238" s="227">
        <v>2019</v>
      </c>
      <c r="B238" s="227" t="s">
        <v>1470</v>
      </c>
      <c r="C238" s="228" t="s">
        <v>257</v>
      </c>
      <c r="D238" s="229"/>
      <c r="E238" s="229"/>
      <c r="F238" s="229" t="s">
        <v>257</v>
      </c>
      <c r="G238" s="228" t="s">
        <v>1369</v>
      </c>
      <c r="H238" s="230">
        <v>0</v>
      </c>
      <c r="I238" s="230">
        <v>4</v>
      </c>
      <c r="J238" s="231"/>
      <c r="K238" s="230">
        <v>586461.75</v>
      </c>
      <c r="L238" s="230">
        <v>0</v>
      </c>
      <c r="M238" s="230">
        <v>586461.75</v>
      </c>
      <c r="N238" s="231"/>
      <c r="O238" s="230">
        <v>210389.25</v>
      </c>
      <c r="P238" s="230">
        <v>0</v>
      </c>
      <c r="Q238" s="230">
        <v>210389.25</v>
      </c>
      <c r="R238" s="231"/>
      <c r="S238" s="230">
        <v>796851</v>
      </c>
      <c r="T238" s="230">
        <v>0</v>
      </c>
      <c r="U238" s="230">
        <v>796851</v>
      </c>
      <c r="V238" s="232"/>
    </row>
    <row r="239" spans="1:22" x14ac:dyDescent="0.2">
      <c r="A239" s="227">
        <v>2019</v>
      </c>
      <c r="B239" s="227" t="s">
        <v>1470</v>
      </c>
      <c r="C239" s="228" t="s">
        <v>258</v>
      </c>
      <c r="D239" s="229"/>
      <c r="E239" s="229"/>
      <c r="F239" s="229" t="s">
        <v>258</v>
      </c>
      <c r="G239" s="228" t="s">
        <v>1370</v>
      </c>
      <c r="H239" s="230">
        <v>3</v>
      </c>
      <c r="I239" s="230">
        <v>0</v>
      </c>
      <c r="J239" s="231"/>
      <c r="K239" s="230">
        <v>169321.5</v>
      </c>
      <c r="L239" s="230">
        <v>169321.5</v>
      </c>
      <c r="M239" s="230">
        <v>0</v>
      </c>
      <c r="N239" s="231"/>
      <c r="O239" s="230">
        <v>60177.5</v>
      </c>
      <c r="P239" s="230">
        <v>60177.5</v>
      </c>
      <c r="Q239" s="230">
        <v>0</v>
      </c>
      <c r="R239" s="231"/>
      <c r="S239" s="230">
        <v>229499</v>
      </c>
      <c r="T239" s="230">
        <v>229499</v>
      </c>
      <c r="U239" s="230">
        <v>0</v>
      </c>
      <c r="V239" s="232"/>
    </row>
    <row r="240" spans="1:22" x14ac:dyDescent="0.2">
      <c r="A240" s="227">
        <v>2019</v>
      </c>
      <c r="B240" s="227" t="s">
        <v>1480</v>
      </c>
      <c r="C240" s="228" t="s">
        <v>259</v>
      </c>
      <c r="D240" s="229"/>
      <c r="E240" s="229"/>
      <c r="F240" s="229" t="s">
        <v>259</v>
      </c>
      <c r="G240" s="228" t="s">
        <v>1371</v>
      </c>
      <c r="H240" s="230">
        <v>0</v>
      </c>
      <c r="I240" s="230">
        <v>0</v>
      </c>
      <c r="J240" s="231"/>
      <c r="K240" s="230">
        <v>0</v>
      </c>
      <c r="L240" s="230">
        <v>0</v>
      </c>
      <c r="M240" s="230">
        <v>0</v>
      </c>
      <c r="N240" s="231"/>
      <c r="O240" s="230">
        <v>0</v>
      </c>
      <c r="P240" s="230">
        <v>0</v>
      </c>
      <c r="Q240" s="230">
        <v>0</v>
      </c>
      <c r="R240" s="231"/>
      <c r="S240" s="230">
        <v>0</v>
      </c>
      <c r="T240" s="230">
        <v>0</v>
      </c>
      <c r="U240" s="230">
        <v>0</v>
      </c>
      <c r="V240" s="232"/>
    </row>
    <row r="241" spans="1:22" x14ac:dyDescent="0.2">
      <c r="A241" s="227">
        <v>2019</v>
      </c>
      <c r="B241" s="227" t="s">
        <v>1470</v>
      </c>
      <c r="C241" s="228" t="s">
        <v>260</v>
      </c>
      <c r="D241" s="229"/>
      <c r="E241" s="229"/>
      <c r="F241" s="229" t="s">
        <v>260</v>
      </c>
      <c r="G241" s="228" t="s">
        <v>1372</v>
      </c>
      <c r="H241" s="230">
        <v>0</v>
      </c>
      <c r="I241" s="230">
        <v>9</v>
      </c>
      <c r="J241" s="231"/>
      <c r="K241" s="230">
        <v>240371.25</v>
      </c>
      <c r="L241" s="230">
        <v>0</v>
      </c>
      <c r="M241" s="230">
        <v>240371.25</v>
      </c>
      <c r="N241" s="231"/>
      <c r="O241" s="230">
        <v>85510.75</v>
      </c>
      <c r="P241" s="230">
        <v>0</v>
      </c>
      <c r="Q241" s="230">
        <v>85510.75</v>
      </c>
      <c r="R241" s="231"/>
      <c r="S241" s="230">
        <v>325882</v>
      </c>
      <c r="T241" s="230">
        <v>0</v>
      </c>
      <c r="U241" s="230">
        <v>325882</v>
      </c>
      <c r="V241" s="232"/>
    </row>
    <row r="242" spans="1:22" x14ac:dyDescent="0.2">
      <c r="A242" s="227">
        <v>2019</v>
      </c>
      <c r="B242" s="227" t="s">
        <v>1475</v>
      </c>
      <c r="C242" s="228" t="s">
        <v>261</v>
      </c>
      <c r="D242" s="229"/>
      <c r="E242" s="229"/>
      <c r="F242" s="229" t="s">
        <v>261</v>
      </c>
      <c r="G242" s="228" t="s">
        <v>1373</v>
      </c>
      <c r="H242" s="230">
        <v>0</v>
      </c>
      <c r="I242" s="230">
        <v>0</v>
      </c>
      <c r="J242" s="231"/>
      <c r="K242" s="230">
        <v>0</v>
      </c>
      <c r="L242" s="230">
        <v>0</v>
      </c>
      <c r="M242" s="230">
        <v>0</v>
      </c>
      <c r="N242" s="231"/>
      <c r="O242" s="230">
        <v>0</v>
      </c>
      <c r="P242" s="230">
        <v>0</v>
      </c>
      <c r="Q242" s="230">
        <v>0</v>
      </c>
      <c r="R242" s="231"/>
      <c r="S242" s="230">
        <v>0</v>
      </c>
      <c r="T242" s="230">
        <v>0</v>
      </c>
      <c r="U242" s="230">
        <v>0</v>
      </c>
      <c r="V242" s="232"/>
    </row>
    <row r="243" spans="1:22" x14ac:dyDescent="0.2">
      <c r="A243" s="227">
        <v>2019</v>
      </c>
      <c r="B243" s="227" t="s">
        <v>1479</v>
      </c>
      <c r="C243" s="228" t="s">
        <v>262</v>
      </c>
      <c r="D243" s="229"/>
      <c r="E243" s="229"/>
      <c r="F243" s="229" t="s">
        <v>262</v>
      </c>
      <c r="G243" s="228" t="s">
        <v>1374</v>
      </c>
      <c r="H243" s="230">
        <v>2</v>
      </c>
      <c r="I243" s="230">
        <v>13</v>
      </c>
      <c r="J243" s="231"/>
      <c r="K243" s="230">
        <v>230119.5</v>
      </c>
      <c r="L243" s="230">
        <v>30682.6</v>
      </c>
      <c r="M243" s="230">
        <v>199436.9</v>
      </c>
      <c r="N243" s="231"/>
      <c r="O243" s="230">
        <v>84015.5</v>
      </c>
      <c r="P243" s="230">
        <v>11202.07</v>
      </c>
      <c r="Q243" s="230">
        <v>72813.429999999993</v>
      </c>
      <c r="R243" s="231"/>
      <c r="S243" s="230">
        <v>314135</v>
      </c>
      <c r="T243" s="230">
        <v>41884.67</v>
      </c>
      <c r="U243" s="230">
        <v>272250.32999999996</v>
      </c>
      <c r="V243" s="232"/>
    </row>
    <row r="244" spans="1:22" x14ac:dyDescent="0.2">
      <c r="A244" s="227">
        <v>2019</v>
      </c>
      <c r="B244" s="227" t="s">
        <v>1475</v>
      </c>
      <c r="C244" s="228" t="s">
        <v>264</v>
      </c>
      <c r="D244" s="229"/>
      <c r="E244" s="229"/>
      <c r="F244" s="229" t="s">
        <v>705</v>
      </c>
      <c r="G244" s="228" t="s">
        <v>1375</v>
      </c>
      <c r="H244" s="230">
        <v>1</v>
      </c>
      <c r="I244" s="230">
        <v>1</v>
      </c>
      <c r="J244" s="231"/>
      <c r="K244" s="230">
        <v>47208</v>
      </c>
      <c r="L244" s="230">
        <v>23604</v>
      </c>
      <c r="M244" s="230">
        <v>23604</v>
      </c>
      <c r="N244" s="231"/>
      <c r="O244" s="230">
        <v>16926</v>
      </c>
      <c r="P244" s="230">
        <v>8463</v>
      </c>
      <c r="Q244" s="230">
        <v>8463</v>
      </c>
      <c r="R244" s="231"/>
      <c r="S244" s="230">
        <v>64134</v>
      </c>
      <c r="T244" s="230">
        <v>32067</v>
      </c>
      <c r="U244" s="230">
        <v>32067</v>
      </c>
      <c r="V244" s="232"/>
    </row>
    <row r="245" spans="1:22" x14ac:dyDescent="0.2">
      <c r="A245" s="227">
        <v>2019</v>
      </c>
      <c r="B245" s="227" t="s">
        <v>1472</v>
      </c>
      <c r="C245" s="228" t="s">
        <v>265</v>
      </c>
      <c r="D245" s="229"/>
      <c r="E245" s="229"/>
      <c r="F245" s="229" t="s">
        <v>265</v>
      </c>
      <c r="G245" s="228" t="s">
        <v>1376</v>
      </c>
      <c r="H245" s="230">
        <v>1</v>
      </c>
      <c r="I245" s="230">
        <v>6</v>
      </c>
      <c r="J245" s="231"/>
      <c r="K245" s="230">
        <v>256348.5</v>
      </c>
      <c r="L245" s="230">
        <v>36621.21</v>
      </c>
      <c r="M245" s="230">
        <v>219727.29</v>
      </c>
      <c r="N245" s="231"/>
      <c r="O245" s="230">
        <v>102563.5</v>
      </c>
      <c r="P245" s="230">
        <v>14651.93</v>
      </c>
      <c r="Q245" s="230">
        <v>87911.57</v>
      </c>
      <c r="R245" s="231"/>
      <c r="S245" s="230">
        <v>358912</v>
      </c>
      <c r="T245" s="230">
        <v>51273.14</v>
      </c>
      <c r="U245" s="230">
        <v>307638.86</v>
      </c>
      <c r="V245" s="232"/>
    </row>
    <row r="246" spans="1:22" x14ac:dyDescent="0.2">
      <c r="A246" s="227">
        <v>2019</v>
      </c>
      <c r="B246" s="227" t="s">
        <v>1474</v>
      </c>
      <c r="C246" s="228" t="s">
        <v>266</v>
      </c>
      <c r="D246" s="229"/>
      <c r="E246" s="229"/>
      <c r="F246" s="229" t="s">
        <v>266</v>
      </c>
      <c r="G246" s="228" t="s">
        <v>1377</v>
      </c>
      <c r="H246" s="230">
        <v>0</v>
      </c>
      <c r="I246" s="230">
        <v>7</v>
      </c>
      <c r="J246" s="231"/>
      <c r="K246" s="230">
        <v>167087.25</v>
      </c>
      <c r="L246" s="230">
        <v>0</v>
      </c>
      <c r="M246" s="230">
        <v>167087.25</v>
      </c>
      <c r="N246" s="231"/>
      <c r="O246" s="230">
        <v>58559.75</v>
      </c>
      <c r="P246" s="230">
        <v>0</v>
      </c>
      <c r="Q246" s="230">
        <v>58559.75</v>
      </c>
      <c r="R246" s="231"/>
      <c r="S246" s="230">
        <v>225647</v>
      </c>
      <c r="T246" s="230">
        <v>0</v>
      </c>
      <c r="U246" s="230">
        <v>225647</v>
      </c>
      <c r="V246" s="232"/>
    </row>
    <row r="247" spans="1:22" x14ac:dyDescent="0.2">
      <c r="A247" s="227">
        <v>2019</v>
      </c>
      <c r="B247" s="227" t="s">
        <v>1479</v>
      </c>
      <c r="C247" s="228" t="s">
        <v>267</v>
      </c>
      <c r="D247" s="229"/>
      <c r="E247" s="229"/>
      <c r="F247" s="229" t="s">
        <v>267</v>
      </c>
      <c r="G247" s="228" t="s">
        <v>1378</v>
      </c>
      <c r="H247" s="230">
        <v>5</v>
      </c>
      <c r="I247" s="230">
        <v>5</v>
      </c>
      <c r="J247" s="231"/>
      <c r="K247" s="230">
        <v>124068.75</v>
      </c>
      <c r="L247" s="230">
        <v>62034.38</v>
      </c>
      <c r="M247" s="230">
        <v>62034.37</v>
      </c>
      <c r="N247" s="231"/>
      <c r="O247" s="230">
        <v>48615.25</v>
      </c>
      <c r="P247" s="230">
        <v>24307.63</v>
      </c>
      <c r="Q247" s="230">
        <v>24307.62</v>
      </c>
      <c r="R247" s="231"/>
      <c r="S247" s="230">
        <v>172684</v>
      </c>
      <c r="T247" s="230">
        <v>86342.01</v>
      </c>
      <c r="U247" s="230">
        <v>86341.99</v>
      </c>
      <c r="V247" s="232"/>
    </row>
    <row r="248" spans="1:22" x14ac:dyDescent="0.2">
      <c r="A248" s="227">
        <v>2019</v>
      </c>
      <c r="B248" s="227" t="s">
        <v>1474</v>
      </c>
      <c r="C248" s="228" t="s">
        <v>122</v>
      </c>
      <c r="D248" s="229"/>
      <c r="E248" s="229"/>
      <c r="F248" s="229" t="s">
        <v>122</v>
      </c>
      <c r="G248" s="228" t="s">
        <v>1379</v>
      </c>
      <c r="H248" s="230">
        <v>0</v>
      </c>
      <c r="I248" s="230">
        <v>10</v>
      </c>
      <c r="J248" s="231"/>
      <c r="K248" s="230">
        <v>147231</v>
      </c>
      <c r="L248" s="230">
        <v>0</v>
      </c>
      <c r="M248" s="230">
        <v>147231</v>
      </c>
      <c r="N248" s="231"/>
      <c r="O248" s="230">
        <v>48679</v>
      </c>
      <c r="P248" s="230">
        <v>0</v>
      </c>
      <c r="Q248" s="230">
        <v>48679</v>
      </c>
      <c r="R248" s="231"/>
      <c r="S248" s="230">
        <v>195910</v>
      </c>
      <c r="T248" s="230">
        <v>0</v>
      </c>
      <c r="U248" s="230">
        <v>195910</v>
      </c>
      <c r="V248" s="232"/>
    </row>
    <row r="249" spans="1:22" x14ac:dyDescent="0.2">
      <c r="A249" s="227">
        <v>2019</v>
      </c>
      <c r="B249" s="227" t="s">
        <v>1472</v>
      </c>
      <c r="C249" s="228" t="s">
        <v>243</v>
      </c>
      <c r="D249" s="229"/>
      <c r="E249" s="229"/>
      <c r="F249" s="229" t="s">
        <v>702</v>
      </c>
      <c r="G249" s="228" t="s">
        <v>1380</v>
      </c>
      <c r="H249" s="230">
        <v>0</v>
      </c>
      <c r="I249" s="230">
        <v>9</v>
      </c>
      <c r="J249" s="231"/>
      <c r="K249" s="230">
        <v>203845.5</v>
      </c>
      <c r="L249" s="230">
        <v>0</v>
      </c>
      <c r="M249" s="230">
        <v>203845.5</v>
      </c>
      <c r="N249" s="231"/>
      <c r="O249" s="230">
        <v>71381.5</v>
      </c>
      <c r="P249" s="230">
        <v>0</v>
      </c>
      <c r="Q249" s="230">
        <v>71381.5</v>
      </c>
      <c r="R249" s="231"/>
      <c r="S249" s="230">
        <v>275227</v>
      </c>
      <c r="T249" s="230">
        <v>0</v>
      </c>
      <c r="U249" s="230">
        <v>275227</v>
      </c>
      <c r="V249" s="232"/>
    </row>
    <row r="250" spans="1:22" x14ac:dyDescent="0.2">
      <c r="A250" s="227">
        <v>2019</v>
      </c>
      <c r="B250" s="227" t="s">
        <v>1474</v>
      </c>
      <c r="C250" s="228" t="s">
        <v>268</v>
      </c>
      <c r="D250" s="229"/>
      <c r="E250" s="229"/>
      <c r="F250" s="229" t="s">
        <v>268</v>
      </c>
      <c r="G250" s="228" t="s">
        <v>1381</v>
      </c>
      <c r="H250" s="230">
        <v>0</v>
      </c>
      <c r="I250" s="230">
        <v>0</v>
      </c>
      <c r="J250" s="231"/>
      <c r="K250" s="230">
        <v>0</v>
      </c>
      <c r="L250" s="230">
        <v>0</v>
      </c>
      <c r="M250" s="230">
        <v>0</v>
      </c>
      <c r="N250" s="231"/>
      <c r="O250" s="230">
        <v>0</v>
      </c>
      <c r="P250" s="230">
        <v>0</v>
      </c>
      <c r="Q250" s="230">
        <v>0</v>
      </c>
      <c r="R250" s="231"/>
      <c r="S250" s="230">
        <v>0</v>
      </c>
      <c r="T250" s="230">
        <v>0</v>
      </c>
      <c r="U250" s="230">
        <v>0</v>
      </c>
      <c r="V250" s="232"/>
    </row>
    <row r="251" spans="1:22" x14ac:dyDescent="0.2">
      <c r="A251" s="227">
        <v>2019</v>
      </c>
      <c r="B251" s="227" t="s">
        <v>1470</v>
      </c>
      <c r="C251" s="228" t="s">
        <v>269</v>
      </c>
      <c r="D251" s="229"/>
      <c r="E251" s="229"/>
      <c r="F251" s="229" t="s">
        <v>269</v>
      </c>
      <c r="G251" s="228" t="s">
        <v>1382</v>
      </c>
      <c r="H251" s="230">
        <v>2</v>
      </c>
      <c r="I251" s="230">
        <v>6</v>
      </c>
      <c r="J251" s="231"/>
      <c r="K251" s="230">
        <v>416421.75</v>
      </c>
      <c r="L251" s="230">
        <v>104105.44</v>
      </c>
      <c r="M251" s="230">
        <v>312316.31</v>
      </c>
      <c r="N251" s="231"/>
      <c r="O251" s="230">
        <v>155546.25</v>
      </c>
      <c r="P251" s="230">
        <v>38886.559999999998</v>
      </c>
      <c r="Q251" s="230">
        <v>116659.69</v>
      </c>
      <c r="R251" s="231"/>
      <c r="S251" s="230">
        <v>571968</v>
      </c>
      <c r="T251" s="230">
        <v>142992</v>
      </c>
      <c r="U251" s="230">
        <v>428976</v>
      </c>
      <c r="V251" s="232"/>
    </row>
    <row r="252" spans="1:22" x14ac:dyDescent="0.2">
      <c r="A252" s="227">
        <v>2019</v>
      </c>
      <c r="B252" s="227" t="s">
        <v>1471</v>
      </c>
      <c r="C252" s="228" t="s">
        <v>270</v>
      </c>
      <c r="D252" s="229"/>
      <c r="E252" s="229"/>
      <c r="F252" s="229" t="s">
        <v>270</v>
      </c>
      <c r="G252" s="228" t="s">
        <v>1383</v>
      </c>
      <c r="H252" s="230">
        <v>0</v>
      </c>
      <c r="I252" s="230">
        <v>3</v>
      </c>
      <c r="J252" s="231"/>
      <c r="K252" s="230">
        <v>58333.5</v>
      </c>
      <c r="L252" s="230">
        <v>0</v>
      </c>
      <c r="M252" s="230">
        <v>58333.5</v>
      </c>
      <c r="N252" s="231"/>
      <c r="O252" s="230">
        <v>20323.5</v>
      </c>
      <c r="P252" s="230">
        <v>0</v>
      </c>
      <c r="Q252" s="230">
        <v>20323.5</v>
      </c>
      <c r="R252" s="231"/>
      <c r="S252" s="230">
        <v>78657</v>
      </c>
      <c r="T252" s="230">
        <v>0</v>
      </c>
      <c r="U252" s="230">
        <v>78657</v>
      </c>
      <c r="V252" s="232"/>
    </row>
    <row r="253" spans="1:22" x14ac:dyDescent="0.2">
      <c r="A253" s="227">
        <v>2019</v>
      </c>
      <c r="B253" s="227" t="s">
        <v>1475</v>
      </c>
      <c r="C253" s="228" t="s">
        <v>271</v>
      </c>
      <c r="D253" s="229"/>
      <c r="E253" s="229"/>
      <c r="F253" s="229" t="s">
        <v>271</v>
      </c>
      <c r="G253" s="228" t="s">
        <v>1384</v>
      </c>
      <c r="H253" s="230">
        <v>0</v>
      </c>
      <c r="I253" s="230">
        <v>10</v>
      </c>
      <c r="J253" s="231"/>
      <c r="K253" s="230">
        <v>74923.5</v>
      </c>
      <c r="L253" s="230">
        <v>0</v>
      </c>
      <c r="M253" s="230">
        <v>74923.5</v>
      </c>
      <c r="N253" s="231"/>
      <c r="O253" s="230">
        <v>27438.5</v>
      </c>
      <c r="P253" s="230">
        <v>0</v>
      </c>
      <c r="Q253" s="230">
        <v>27438.5</v>
      </c>
      <c r="R253" s="231"/>
      <c r="S253" s="230">
        <v>102362</v>
      </c>
      <c r="T253" s="230">
        <v>0</v>
      </c>
      <c r="U253" s="230">
        <v>102362</v>
      </c>
      <c r="V253" s="232"/>
    </row>
    <row r="254" spans="1:22" x14ac:dyDescent="0.2">
      <c r="A254" s="227">
        <v>2019</v>
      </c>
      <c r="B254" s="227" t="s">
        <v>1470</v>
      </c>
      <c r="C254" s="228" t="s">
        <v>273</v>
      </c>
      <c r="D254" s="229"/>
      <c r="E254" s="229"/>
      <c r="F254" s="229" t="s">
        <v>273</v>
      </c>
      <c r="G254" s="228" t="s">
        <v>1385</v>
      </c>
      <c r="H254" s="230">
        <v>0</v>
      </c>
      <c r="I254" s="230">
        <v>0</v>
      </c>
      <c r="J254" s="231"/>
      <c r="K254" s="230">
        <v>0</v>
      </c>
      <c r="L254" s="230">
        <v>0</v>
      </c>
      <c r="M254" s="230">
        <v>0</v>
      </c>
      <c r="N254" s="231"/>
      <c r="O254" s="230">
        <v>0</v>
      </c>
      <c r="P254" s="230">
        <v>0</v>
      </c>
      <c r="Q254" s="230">
        <v>0</v>
      </c>
      <c r="R254" s="231"/>
      <c r="S254" s="230">
        <v>0</v>
      </c>
      <c r="T254" s="230">
        <v>0</v>
      </c>
      <c r="U254" s="230">
        <v>0</v>
      </c>
      <c r="V254" s="232"/>
    </row>
    <row r="255" spans="1:22" x14ac:dyDescent="0.2">
      <c r="A255" s="227">
        <v>2019</v>
      </c>
      <c r="B255" s="227" t="s">
        <v>1475</v>
      </c>
      <c r="C255" s="228" t="s">
        <v>274</v>
      </c>
      <c r="D255" s="229"/>
      <c r="E255" s="229"/>
      <c r="F255" s="229" t="s">
        <v>274</v>
      </c>
      <c r="G255" s="228" t="s">
        <v>1386</v>
      </c>
      <c r="H255" s="230">
        <v>1</v>
      </c>
      <c r="I255" s="230">
        <v>1</v>
      </c>
      <c r="J255" s="231"/>
      <c r="K255" s="230">
        <v>31625.25</v>
      </c>
      <c r="L255" s="230">
        <v>15812.63</v>
      </c>
      <c r="M255" s="230">
        <v>15812.62</v>
      </c>
      <c r="N255" s="231"/>
      <c r="O255" s="230">
        <v>12103.75</v>
      </c>
      <c r="P255" s="230">
        <v>6051.88</v>
      </c>
      <c r="Q255" s="230">
        <v>6051.87</v>
      </c>
      <c r="R255" s="231"/>
      <c r="S255" s="230">
        <v>43729</v>
      </c>
      <c r="T255" s="230">
        <v>21864.51</v>
      </c>
      <c r="U255" s="230">
        <v>21864.49</v>
      </c>
      <c r="V255" s="232"/>
    </row>
    <row r="256" spans="1:22" x14ac:dyDescent="0.2">
      <c r="A256" s="227">
        <v>2019</v>
      </c>
      <c r="B256" s="227" t="s">
        <v>1474</v>
      </c>
      <c r="C256" s="228" t="s">
        <v>275</v>
      </c>
      <c r="D256" s="229"/>
      <c r="E256" s="229"/>
      <c r="F256" s="229" t="s">
        <v>275</v>
      </c>
      <c r="G256" s="228" t="s">
        <v>1387</v>
      </c>
      <c r="H256" s="230">
        <v>0</v>
      </c>
      <c r="I256" s="230">
        <v>6</v>
      </c>
      <c r="J256" s="231"/>
      <c r="K256" s="230">
        <v>54441</v>
      </c>
      <c r="L256" s="230">
        <v>0</v>
      </c>
      <c r="M256" s="230">
        <v>54441</v>
      </c>
      <c r="N256" s="231"/>
      <c r="O256" s="230">
        <v>19114</v>
      </c>
      <c r="P256" s="230">
        <v>0</v>
      </c>
      <c r="Q256" s="230">
        <v>19114</v>
      </c>
      <c r="R256" s="231"/>
      <c r="S256" s="230">
        <v>73555</v>
      </c>
      <c r="T256" s="230">
        <v>0</v>
      </c>
      <c r="U256" s="230">
        <v>73555</v>
      </c>
      <c r="V256" s="232"/>
    </row>
    <row r="257" spans="1:22" x14ac:dyDescent="0.2">
      <c r="A257" s="227">
        <v>2019</v>
      </c>
      <c r="B257" s="227" t="s">
        <v>1474</v>
      </c>
      <c r="C257" s="228" t="s">
        <v>276</v>
      </c>
      <c r="D257" s="229"/>
      <c r="E257" s="229"/>
      <c r="F257" s="229" t="s">
        <v>276</v>
      </c>
      <c r="G257" s="228" t="s">
        <v>1388</v>
      </c>
      <c r="H257" s="230">
        <v>0</v>
      </c>
      <c r="I257" s="230">
        <v>0</v>
      </c>
      <c r="J257" s="231"/>
      <c r="K257" s="230">
        <v>0</v>
      </c>
      <c r="L257" s="230">
        <v>0</v>
      </c>
      <c r="M257" s="230">
        <v>0</v>
      </c>
      <c r="N257" s="231"/>
      <c r="O257" s="230">
        <v>0</v>
      </c>
      <c r="P257" s="230">
        <v>0</v>
      </c>
      <c r="Q257" s="230">
        <v>0</v>
      </c>
      <c r="R257" s="231"/>
      <c r="S257" s="230">
        <v>0</v>
      </c>
      <c r="T257" s="230">
        <v>0</v>
      </c>
      <c r="U257" s="230">
        <v>0</v>
      </c>
      <c r="V257" s="232"/>
    </row>
    <row r="258" spans="1:22" x14ac:dyDescent="0.2">
      <c r="A258" s="227">
        <v>2019</v>
      </c>
      <c r="B258" s="227" t="s">
        <v>1476</v>
      </c>
      <c r="C258" s="228" t="s">
        <v>277</v>
      </c>
      <c r="D258" s="229"/>
      <c r="E258" s="229"/>
      <c r="F258" s="229" t="s">
        <v>277</v>
      </c>
      <c r="G258" s="228" t="s">
        <v>1389</v>
      </c>
      <c r="H258" s="230">
        <v>0</v>
      </c>
      <c r="I258" s="230">
        <v>10</v>
      </c>
      <c r="J258" s="231"/>
      <c r="K258" s="230">
        <v>79251.75</v>
      </c>
      <c r="L258" s="230">
        <v>0</v>
      </c>
      <c r="M258" s="230">
        <v>79251.75</v>
      </c>
      <c r="N258" s="231"/>
      <c r="O258" s="230">
        <v>29397.25</v>
      </c>
      <c r="P258" s="230">
        <v>0</v>
      </c>
      <c r="Q258" s="230">
        <v>29397.25</v>
      </c>
      <c r="R258" s="231"/>
      <c r="S258" s="230">
        <v>108649</v>
      </c>
      <c r="T258" s="230">
        <v>0</v>
      </c>
      <c r="U258" s="230">
        <v>108649</v>
      </c>
      <c r="V258" s="232"/>
    </row>
    <row r="259" spans="1:22" x14ac:dyDescent="0.2">
      <c r="A259" s="227">
        <v>2019</v>
      </c>
      <c r="B259" s="227" t="s">
        <v>1474</v>
      </c>
      <c r="C259" s="228" t="s">
        <v>279</v>
      </c>
      <c r="D259" s="229"/>
      <c r="E259" s="229"/>
      <c r="F259" s="229" t="s">
        <v>279</v>
      </c>
      <c r="G259" s="228" t="s">
        <v>1390</v>
      </c>
      <c r="H259" s="230">
        <v>0</v>
      </c>
      <c r="I259" s="230">
        <v>8</v>
      </c>
      <c r="J259" s="231"/>
      <c r="K259" s="230">
        <v>416598</v>
      </c>
      <c r="L259" s="230">
        <v>0</v>
      </c>
      <c r="M259" s="230">
        <v>416598</v>
      </c>
      <c r="N259" s="231"/>
      <c r="O259" s="230">
        <v>151024</v>
      </c>
      <c r="P259" s="230">
        <v>0</v>
      </c>
      <c r="Q259" s="230">
        <v>151024</v>
      </c>
      <c r="R259" s="231"/>
      <c r="S259" s="230">
        <v>567622</v>
      </c>
      <c r="T259" s="230">
        <v>0</v>
      </c>
      <c r="U259" s="230">
        <v>567622</v>
      </c>
      <c r="V259" s="232"/>
    </row>
    <row r="260" spans="1:22" x14ac:dyDescent="0.2">
      <c r="A260" s="227">
        <v>2019</v>
      </c>
      <c r="B260" s="227" t="s">
        <v>1472</v>
      </c>
      <c r="C260" s="228" t="s">
        <v>280</v>
      </c>
      <c r="D260" s="229" t="s">
        <v>1490</v>
      </c>
      <c r="E260" s="229"/>
      <c r="F260" s="229" t="s">
        <v>280</v>
      </c>
      <c r="G260" s="228" t="s">
        <v>1391</v>
      </c>
      <c r="H260" s="230">
        <v>4</v>
      </c>
      <c r="I260" s="230">
        <v>4</v>
      </c>
      <c r="J260" s="231"/>
      <c r="K260" s="230">
        <v>293266.5</v>
      </c>
      <c r="L260" s="230">
        <v>146633.25</v>
      </c>
      <c r="M260" s="230">
        <v>146633.25</v>
      </c>
      <c r="N260" s="231"/>
      <c r="O260" s="230">
        <v>121469.5</v>
      </c>
      <c r="P260" s="230">
        <v>60734.75</v>
      </c>
      <c r="Q260" s="230">
        <v>60734.75</v>
      </c>
      <c r="R260" s="231"/>
      <c r="S260" s="230">
        <v>414736</v>
      </c>
      <c r="T260" s="230">
        <v>207368</v>
      </c>
      <c r="U260" s="230">
        <v>207368</v>
      </c>
      <c r="V260" s="232"/>
    </row>
    <row r="261" spans="1:22" x14ac:dyDescent="0.2">
      <c r="A261" s="227">
        <v>2019</v>
      </c>
      <c r="B261" s="227" t="s">
        <v>1474</v>
      </c>
      <c r="C261" s="228" t="s">
        <v>281</v>
      </c>
      <c r="D261" s="229"/>
      <c r="E261" s="229"/>
      <c r="F261" s="229" t="s">
        <v>281</v>
      </c>
      <c r="G261" s="228" t="s">
        <v>1392</v>
      </c>
      <c r="H261" s="230">
        <v>4</v>
      </c>
      <c r="I261" s="230">
        <v>6</v>
      </c>
      <c r="J261" s="231"/>
      <c r="K261" s="230">
        <v>281623.5</v>
      </c>
      <c r="L261" s="230">
        <v>112649.4</v>
      </c>
      <c r="M261" s="230">
        <v>168974.1</v>
      </c>
      <c r="N261" s="231"/>
      <c r="O261" s="230">
        <v>103334.5</v>
      </c>
      <c r="P261" s="230">
        <v>41333.800000000003</v>
      </c>
      <c r="Q261" s="230">
        <v>62000.7</v>
      </c>
      <c r="R261" s="231"/>
      <c r="S261" s="230">
        <v>384958</v>
      </c>
      <c r="T261" s="230">
        <v>153983.20000000001</v>
      </c>
      <c r="U261" s="230">
        <v>230974.8</v>
      </c>
      <c r="V261" s="232"/>
    </row>
    <row r="262" spans="1:22" x14ac:dyDescent="0.2">
      <c r="A262" s="227">
        <v>2019</v>
      </c>
      <c r="B262" s="227" t="s">
        <v>1472</v>
      </c>
      <c r="C262" s="228" t="s">
        <v>282</v>
      </c>
      <c r="D262" s="229" t="s">
        <v>1491</v>
      </c>
      <c r="E262" s="229"/>
      <c r="F262" s="229" t="s">
        <v>282</v>
      </c>
      <c r="G262" s="228" t="s">
        <v>1393</v>
      </c>
      <c r="H262" s="230">
        <v>10</v>
      </c>
      <c r="I262" s="230">
        <v>10</v>
      </c>
      <c r="J262" s="231"/>
      <c r="K262" s="230">
        <v>225180</v>
      </c>
      <c r="L262" s="230">
        <v>112590</v>
      </c>
      <c r="M262" s="230">
        <v>112590</v>
      </c>
      <c r="N262" s="231"/>
      <c r="O262" s="230">
        <v>80404</v>
      </c>
      <c r="P262" s="230">
        <v>40202</v>
      </c>
      <c r="Q262" s="230">
        <v>40202</v>
      </c>
      <c r="R262" s="231"/>
      <c r="S262" s="230">
        <v>305584</v>
      </c>
      <c r="T262" s="230">
        <v>152792</v>
      </c>
      <c r="U262" s="230">
        <v>152792</v>
      </c>
      <c r="V262" s="232"/>
    </row>
    <row r="263" spans="1:22" x14ac:dyDescent="0.2">
      <c r="A263" s="227">
        <v>2019</v>
      </c>
      <c r="B263" s="227" t="s">
        <v>1476</v>
      </c>
      <c r="C263" s="228" t="s">
        <v>283</v>
      </c>
      <c r="D263" s="229"/>
      <c r="E263" s="229"/>
      <c r="F263" s="229" t="s">
        <v>283</v>
      </c>
      <c r="G263" s="228" t="s">
        <v>1394</v>
      </c>
      <c r="H263" s="230">
        <v>0</v>
      </c>
      <c r="I263" s="230">
        <v>1</v>
      </c>
      <c r="J263" s="231"/>
      <c r="K263" s="230">
        <v>19361.25</v>
      </c>
      <c r="L263" s="230">
        <v>0</v>
      </c>
      <c r="M263" s="230">
        <v>19361.25</v>
      </c>
      <c r="N263" s="231"/>
      <c r="O263" s="230">
        <v>7064.75</v>
      </c>
      <c r="P263" s="230">
        <v>0</v>
      </c>
      <c r="Q263" s="230">
        <v>7064.75</v>
      </c>
      <c r="R263" s="231"/>
      <c r="S263" s="230">
        <v>26426</v>
      </c>
      <c r="T263" s="230">
        <v>0</v>
      </c>
      <c r="U263" s="230">
        <v>26426</v>
      </c>
      <c r="V263" s="232"/>
    </row>
    <row r="264" spans="1:22" x14ac:dyDescent="0.2">
      <c r="A264" s="227">
        <v>2019</v>
      </c>
      <c r="B264" s="227" t="s">
        <v>1474</v>
      </c>
      <c r="C264" s="228" t="s">
        <v>284</v>
      </c>
      <c r="D264" s="229"/>
      <c r="E264" s="229"/>
      <c r="F264" s="229" t="s">
        <v>284</v>
      </c>
      <c r="G264" s="228" t="s">
        <v>1395</v>
      </c>
      <c r="H264" s="230">
        <v>0</v>
      </c>
      <c r="I264" s="230">
        <v>5</v>
      </c>
      <c r="J264" s="231"/>
      <c r="K264" s="230">
        <v>384307.5</v>
      </c>
      <c r="L264" s="230">
        <v>0</v>
      </c>
      <c r="M264" s="230">
        <v>384307.5</v>
      </c>
      <c r="N264" s="231"/>
      <c r="O264" s="230">
        <v>142463.5</v>
      </c>
      <c r="P264" s="230">
        <v>0</v>
      </c>
      <c r="Q264" s="230">
        <v>142463.5</v>
      </c>
      <c r="R264" s="231"/>
      <c r="S264" s="230">
        <v>526771</v>
      </c>
      <c r="T264" s="230">
        <v>0</v>
      </c>
      <c r="U264" s="230">
        <v>526771</v>
      </c>
      <c r="V264" s="232"/>
    </row>
    <row r="265" spans="1:22" x14ac:dyDescent="0.2">
      <c r="A265" s="227">
        <v>2019</v>
      </c>
      <c r="B265" s="227" t="s">
        <v>1475</v>
      </c>
      <c r="C265" s="228" t="s">
        <v>286</v>
      </c>
      <c r="D265" s="229"/>
      <c r="E265" s="229"/>
      <c r="F265" s="229" t="s">
        <v>706</v>
      </c>
      <c r="G265" s="228" t="s">
        <v>1396</v>
      </c>
      <c r="H265" s="230">
        <v>0</v>
      </c>
      <c r="I265" s="230">
        <v>0</v>
      </c>
      <c r="J265" s="231"/>
      <c r="K265" s="230">
        <v>0</v>
      </c>
      <c r="L265" s="230">
        <v>0</v>
      </c>
      <c r="M265" s="230">
        <v>0</v>
      </c>
      <c r="N265" s="231"/>
      <c r="O265" s="230">
        <v>0</v>
      </c>
      <c r="P265" s="230">
        <v>0</v>
      </c>
      <c r="Q265" s="230">
        <v>0</v>
      </c>
      <c r="R265" s="231"/>
      <c r="S265" s="230">
        <v>0</v>
      </c>
      <c r="T265" s="230">
        <v>0</v>
      </c>
      <c r="U265" s="230">
        <v>0</v>
      </c>
      <c r="V265" s="232"/>
    </row>
    <row r="266" spans="1:22" x14ac:dyDescent="0.2">
      <c r="A266" s="227">
        <v>2019</v>
      </c>
      <c r="B266" s="227" t="s">
        <v>1474</v>
      </c>
      <c r="C266" s="228" t="s">
        <v>285</v>
      </c>
      <c r="D266" s="229"/>
      <c r="E266" s="229"/>
      <c r="F266" s="229" t="s">
        <v>285</v>
      </c>
      <c r="G266" s="228" t="s">
        <v>1397</v>
      </c>
      <c r="H266" s="230">
        <v>0</v>
      </c>
      <c r="I266" s="230">
        <v>3</v>
      </c>
      <c r="J266" s="231"/>
      <c r="K266" s="230">
        <v>1388244.75</v>
      </c>
      <c r="L266" s="230">
        <v>0</v>
      </c>
      <c r="M266" s="230">
        <v>1388244.75</v>
      </c>
      <c r="N266" s="231"/>
      <c r="O266" s="230">
        <v>519422.25</v>
      </c>
      <c r="P266" s="230">
        <v>0</v>
      </c>
      <c r="Q266" s="230">
        <v>519422.25</v>
      </c>
      <c r="R266" s="231"/>
      <c r="S266" s="230">
        <v>1907667</v>
      </c>
      <c r="T266" s="230">
        <v>0</v>
      </c>
      <c r="U266" s="230">
        <v>1907667</v>
      </c>
      <c r="V266" s="232"/>
    </row>
    <row r="267" spans="1:22" x14ac:dyDescent="0.2">
      <c r="A267" s="227">
        <v>2019</v>
      </c>
      <c r="B267" s="227" t="s">
        <v>1477</v>
      </c>
      <c r="C267" s="228" t="s">
        <v>288</v>
      </c>
      <c r="D267" s="229"/>
      <c r="E267" s="229"/>
      <c r="F267" s="229" t="s">
        <v>288</v>
      </c>
      <c r="G267" s="228" t="s">
        <v>1398</v>
      </c>
      <c r="H267" s="230">
        <v>0</v>
      </c>
      <c r="I267" s="230">
        <v>5</v>
      </c>
      <c r="J267" s="231"/>
      <c r="K267" s="230">
        <v>470627.25</v>
      </c>
      <c r="L267" s="230">
        <v>0</v>
      </c>
      <c r="M267" s="230">
        <v>470627.25</v>
      </c>
      <c r="N267" s="231"/>
      <c r="O267" s="230">
        <v>187369.75</v>
      </c>
      <c r="P267" s="230">
        <v>0</v>
      </c>
      <c r="Q267" s="230">
        <v>187369.75</v>
      </c>
      <c r="R267" s="231"/>
      <c r="S267" s="230">
        <v>657997</v>
      </c>
      <c r="T267" s="230">
        <v>0</v>
      </c>
      <c r="U267" s="230">
        <v>657997</v>
      </c>
      <c r="V267" s="232"/>
    </row>
    <row r="268" spans="1:22" x14ac:dyDescent="0.2">
      <c r="A268" s="227">
        <v>2019</v>
      </c>
      <c r="B268" s="227" t="s">
        <v>1475</v>
      </c>
      <c r="C268" s="228" t="s">
        <v>287</v>
      </c>
      <c r="D268" s="229"/>
      <c r="E268" s="229"/>
      <c r="F268" s="229" t="s">
        <v>287</v>
      </c>
      <c r="G268" s="228" t="s">
        <v>1399</v>
      </c>
      <c r="H268" s="230">
        <v>0</v>
      </c>
      <c r="I268" s="230">
        <v>0</v>
      </c>
      <c r="J268" s="231"/>
      <c r="K268" s="230">
        <v>0</v>
      </c>
      <c r="L268" s="230">
        <v>0</v>
      </c>
      <c r="M268" s="230">
        <v>0</v>
      </c>
      <c r="N268" s="231"/>
      <c r="O268" s="230">
        <v>0</v>
      </c>
      <c r="P268" s="230">
        <v>0</v>
      </c>
      <c r="Q268" s="230">
        <v>0</v>
      </c>
      <c r="R268" s="231"/>
      <c r="S268" s="230">
        <v>0</v>
      </c>
      <c r="T268" s="230">
        <v>0</v>
      </c>
      <c r="U268" s="230">
        <v>0</v>
      </c>
      <c r="V268" s="232"/>
    </row>
    <row r="269" spans="1:22" x14ac:dyDescent="0.2">
      <c r="A269" s="227">
        <v>2019</v>
      </c>
      <c r="B269" s="227" t="s">
        <v>1475</v>
      </c>
      <c r="C269" s="228" t="s">
        <v>290</v>
      </c>
      <c r="D269" s="229"/>
      <c r="E269" s="229"/>
      <c r="F269" s="229" t="s">
        <v>290</v>
      </c>
      <c r="G269" s="228" t="s">
        <v>1400</v>
      </c>
      <c r="H269" s="230">
        <v>0</v>
      </c>
      <c r="I269" s="230">
        <v>8</v>
      </c>
      <c r="J269" s="231"/>
      <c r="K269" s="230">
        <v>247830.75</v>
      </c>
      <c r="L269" s="230">
        <v>0</v>
      </c>
      <c r="M269" s="230">
        <v>247830.75</v>
      </c>
      <c r="N269" s="231"/>
      <c r="O269" s="230">
        <v>87227.25</v>
      </c>
      <c r="P269" s="230">
        <v>0</v>
      </c>
      <c r="Q269" s="230">
        <v>87227.25</v>
      </c>
      <c r="R269" s="231"/>
      <c r="S269" s="230">
        <v>335058</v>
      </c>
      <c r="T269" s="230">
        <v>0</v>
      </c>
      <c r="U269" s="230">
        <v>335058</v>
      </c>
      <c r="V269" s="232"/>
    </row>
    <row r="270" spans="1:22" x14ac:dyDescent="0.2">
      <c r="A270" s="227">
        <v>2019</v>
      </c>
      <c r="B270" s="227" t="s">
        <v>1474</v>
      </c>
      <c r="C270" s="228" t="s">
        <v>255</v>
      </c>
      <c r="D270" s="229"/>
      <c r="E270" s="229"/>
      <c r="F270" s="229" t="s">
        <v>703</v>
      </c>
      <c r="G270" s="228" t="s">
        <v>1401</v>
      </c>
      <c r="H270" s="230">
        <v>2</v>
      </c>
      <c r="I270" s="230">
        <v>8</v>
      </c>
      <c r="J270" s="231"/>
      <c r="K270" s="230">
        <v>301188.75</v>
      </c>
      <c r="L270" s="230">
        <v>60237.75</v>
      </c>
      <c r="M270" s="230">
        <v>240951</v>
      </c>
      <c r="N270" s="231"/>
      <c r="O270" s="230">
        <v>103217.25</v>
      </c>
      <c r="P270" s="230">
        <v>20643.45</v>
      </c>
      <c r="Q270" s="230">
        <v>82573.8</v>
      </c>
      <c r="R270" s="231"/>
      <c r="S270" s="230">
        <v>404406</v>
      </c>
      <c r="T270" s="230">
        <v>80881.2</v>
      </c>
      <c r="U270" s="230">
        <v>323524.8</v>
      </c>
      <c r="V270" s="232"/>
    </row>
    <row r="271" spans="1:22" x14ac:dyDescent="0.2">
      <c r="A271" s="227">
        <v>2019</v>
      </c>
      <c r="B271" s="227" t="s">
        <v>1472</v>
      </c>
      <c r="C271" s="228" t="s">
        <v>292</v>
      </c>
      <c r="D271" s="229"/>
      <c r="E271" s="229"/>
      <c r="F271" s="229" t="s">
        <v>292</v>
      </c>
      <c r="G271" s="228" t="s">
        <v>1402</v>
      </c>
      <c r="H271" s="230">
        <v>0</v>
      </c>
      <c r="I271" s="230">
        <v>13</v>
      </c>
      <c r="J271" s="231"/>
      <c r="K271" s="230">
        <v>79566</v>
      </c>
      <c r="L271" s="230">
        <v>0</v>
      </c>
      <c r="M271" s="230">
        <v>79566</v>
      </c>
      <c r="N271" s="231"/>
      <c r="O271" s="230">
        <v>26207</v>
      </c>
      <c r="P271" s="230">
        <v>0</v>
      </c>
      <c r="Q271" s="230">
        <v>26207</v>
      </c>
      <c r="R271" s="231"/>
      <c r="S271" s="230">
        <v>105773</v>
      </c>
      <c r="T271" s="230">
        <v>0</v>
      </c>
      <c r="U271" s="230">
        <v>105773</v>
      </c>
      <c r="V271" s="232"/>
    </row>
    <row r="272" spans="1:22" x14ac:dyDescent="0.2">
      <c r="A272" s="227">
        <v>2019</v>
      </c>
      <c r="B272" s="227" t="s">
        <v>1471</v>
      </c>
      <c r="C272" s="228" t="s">
        <v>293</v>
      </c>
      <c r="D272" s="229"/>
      <c r="E272" s="229"/>
      <c r="F272" s="229" t="s">
        <v>293</v>
      </c>
      <c r="G272" s="228" t="s">
        <v>1403</v>
      </c>
      <c r="H272" s="230">
        <v>0</v>
      </c>
      <c r="I272" s="230">
        <v>9</v>
      </c>
      <c r="J272" s="231"/>
      <c r="K272" s="230">
        <v>405315.75</v>
      </c>
      <c r="L272" s="230">
        <v>0</v>
      </c>
      <c r="M272" s="230">
        <v>405315.75</v>
      </c>
      <c r="N272" s="231"/>
      <c r="O272" s="230">
        <v>142055.25</v>
      </c>
      <c r="P272" s="230">
        <v>0</v>
      </c>
      <c r="Q272" s="230">
        <v>142055.25</v>
      </c>
      <c r="R272" s="231"/>
      <c r="S272" s="230">
        <v>547371</v>
      </c>
      <c r="T272" s="230">
        <v>0</v>
      </c>
      <c r="U272" s="230">
        <v>547371</v>
      </c>
      <c r="V272" s="232"/>
    </row>
    <row r="273" spans="1:22" x14ac:dyDescent="0.2">
      <c r="A273" s="227">
        <v>2019</v>
      </c>
      <c r="B273" s="227" t="s">
        <v>1479</v>
      </c>
      <c r="C273" s="228" t="s">
        <v>294</v>
      </c>
      <c r="D273" s="229"/>
      <c r="E273" s="229"/>
      <c r="F273" s="229" t="s">
        <v>294</v>
      </c>
      <c r="G273" s="228" t="s">
        <v>1404</v>
      </c>
      <c r="H273" s="230">
        <v>3</v>
      </c>
      <c r="I273" s="230">
        <v>3</v>
      </c>
      <c r="J273" s="231"/>
      <c r="K273" s="230">
        <v>168647.25</v>
      </c>
      <c r="L273" s="230">
        <v>84323.63</v>
      </c>
      <c r="M273" s="230">
        <v>84323.62</v>
      </c>
      <c r="N273" s="231"/>
      <c r="O273" s="230">
        <v>62999.75</v>
      </c>
      <c r="P273" s="230">
        <v>31499.88</v>
      </c>
      <c r="Q273" s="230">
        <v>31499.87</v>
      </c>
      <c r="R273" s="231"/>
      <c r="S273" s="230">
        <v>231647</v>
      </c>
      <c r="T273" s="230">
        <v>115823.51000000001</v>
      </c>
      <c r="U273" s="230">
        <v>115823.48999999999</v>
      </c>
      <c r="V273" s="232"/>
    </row>
    <row r="274" spans="1:22" x14ac:dyDescent="0.2">
      <c r="A274" s="227">
        <v>2019</v>
      </c>
      <c r="B274" s="227" t="s">
        <v>1470</v>
      </c>
      <c r="C274" s="228" t="s">
        <v>295</v>
      </c>
      <c r="D274" s="229"/>
      <c r="E274" s="229"/>
      <c r="F274" s="229" t="s">
        <v>295</v>
      </c>
      <c r="G274" s="228" t="s">
        <v>1405</v>
      </c>
      <c r="H274" s="230">
        <v>0</v>
      </c>
      <c r="I274" s="230">
        <v>5</v>
      </c>
      <c r="J274" s="231"/>
      <c r="K274" s="230">
        <v>1682931</v>
      </c>
      <c r="L274" s="230">
        <v>0</v>
      </c>
      <c r="M274" s="230">
        <v>1682931</v>
      </c>
      <c r="N274" s="231"/>
      <c r="O274" s="230">
        <v>608950</v>
      </c>
      <c r="P274" s="230">
        <v>0</v>
      </c>
      <c r="Q274" s="230">
        <v>608950</v>
      </c>
      <c r="R274" s="231"/>
      <c r="S274" s="230">
        <v>2291881</v>
      </c>
      <c r="T274" s="230">
        <v>0</v>
      </c>
      <c r="U274" s="230">
        <v>2291881</v>
      </c>
      <c r="V274" s="232"/>
    </row>
    <row r="275" spans="1:22" x14ac:dyDescent="0.2">
      <c r="A275" s="227">
        <v>2019</v>
      </c>
      <c r="B275" s="227" t="s">
        <v>1470</v>
      </c>
      <c r="C275" s="228" t="s">
        <v>289</v>
      </c>
      <c r="D275" s="229"/>
      <c r="E275" s="229"/>
      <c r="F275" s="229" t="s">
        <v>289</v>
      </c>
      <c r="G275" s="228" t="s">
        <v>1406</v>
      </c>
      <c r="H275" s="230">
        <v>0</v>
      </c>
      <c r="I275" s="230">
        <v>10</v>
      </c>
      <c r="J275" s="231"/>
      <c r="K275" s="230">
        <v>194429.25</v>
      </c>
      <c r="L275" s="230">
        <v>0</v>
      </c>
      <c r="M275" s="230">
        <v>194429.25</v>
      </c>
      <c r="N275" s="231"/>
      <c r="O275" s="230">
        <v>70209.75</v>
      </c>
      <c r="P275" s="230">
        <v>0</v>
      </c>
      <c r="Q275" s="230">
        <v>70209.75</v>
      </c>
      <c r="R275" s="231"/>
      <c r="S275" s="230">
        <v>264639</v>
      </c>
      <c r="T275" s="230">
        <v>0</v>
      </c>
      <c r="U275" s="230">
        <v>264639</v>
      </c>
      <c r="V275" s="232"/>
    </row>
    <row r="276" spans="1:22" x14ac:dyDescent="0.2">
      <c r="A276" s="227">
        <v>2019</v>
      </c>
      <c r="B276" s="227" t="s">
        <v>1475</v>
      </c>
      <c r="C276" s="228" t="s">
        <v>291</v>
      </c>
      <c r="D276" s="229"/>
      <c r="E276" s="229"/>
      <c r="F276" s="229" t="s">
        <v>291</v>
      </c>
      <c r="G276" s="228" t="s">
        <v>1407</v>
      </c>
      <c r="H276" s="230">
        <v>1</v>
      </c>
      <c r="I276" s="230">
        <v>0</v>
      </c>
      <c r="J276" s="231"/>
      <c r="K276" s="230">
        <v>20033.25</v>
      </c>
      <c r="L276" s="230">
        <v>20033.25</v>
      </c>
      <c r="M276" s="230">
        <v>0</v>
      </c>
      <c r="N276" s="231"/>
      <c r="O276" s="230">
        <v>7186.75</v>
      </c>
      <c r="P276" s="230">
        <v>7186.75</v>
      </c>
      <c r="Q276" s="230">
        <v>0</v>
      </c>
      <c r="R276" s="231"/>
      <c r="S276" s="230">
        <v>27220</v>
      </c>
      <c r="T276" s="230">
        <v>27220</v>
      </c>
      <c r="U276" s="230">
        <v>0</v>
      </c>
      <c r="V276" s="232"/>
    </row>
    <row r="277" spans="1:22" x14ac:dyDescent="0.2">
      <c r="A277" s="227">
        <v>2019</v>
      </c>
      <c r="B277" s="227" t="s">
        <v>1475</v>
      </c>
      <c r="C277" s="228" t="s">
        <v>296</v>
      </c>
      <c r="D277" s="229"/>
      <c r="E277" s="229"/>
      <c r="F277" s="229" t="s">
        <v>296</v>
      </c>
      <c r="G277" s="228" t="s">
        <v>1408</v>
      </c>
      <c r="H277" s="230">
        <v>0</v>
      </c>
      <c r="I277" s="230">
        <v>4</v>
      </c>
      <c r="J277" s="231"/>
      <c r="K277" s="230">
        <v>382444.5</v>
      </c>
      <c r="L277" s="230">
        <v>0</v>
      </c>
      <c r="M277" s="230">
        <v>382444.5</v>
      </c>
      <c r="N277" s="231"/>
      <c r="O277" s="230">
        <v>143811.5</v>
      </c>
      <c r="P277" s="230">
        <v>0</v>
      </c>
      <c r="Q277" s="230">
        <v>143811.5</v>
      </c>
      <c r="R277" s="231"/>
      <c r="S277" s="230">
        <v>526256</v>
      </c>
      <c r="T277" s="230">
        <v>0</v>
      </c>
      <c r="U277" s="230">
        <v>526256</v>
      </c>
      <c r="V277" s="232"/>
    </row>
    <row r="278" spans="1:22" x14ac:dyDescent="0.2">
      <c r="A278" s="227">
        <v>2019</v>
      </c>
      <c r="B278" s="227" t="s">
        <v>1475</v>
      </c>
      <c r="C278" s="228" t="s">
        <v>297</v>
      </c>
      <c r="D278" s="229"/>
      <c r="E278" s="229"/>
      <c r="F278" s="229" t="s">
        <v>297</v>
      </c>
      <c r="G278" s="228" t="s">
        <v>1409</v>
      </c>
      <c r="H278" s="230">
        <v>0</v>
      </c>
      <c r="I278" s="230">
        <v>6</v>
      </c>
      <c r="J278" s="231"/>
      <c r="K278" s="230">
        <v>428922</v>
      </c>
      <c r="L278" s="230">
        <v>0</v>
      </c>
      <c r="M278" s="230">
        <v>428922</v>
      </c>
      <c r="N278" s="231"/>
      <c r="O278" s="230">
        <v>260124</v>
      </c>
      <c r="P278" s="230">
        <v>0</v>
      </c>
      <c r="Q278" s="230">
        <v>260124</v>
      </c>
      <c r="R278" s="231"/>
      <c r="S278" s="230">
        <v>689046</v>
      </c>
      <c r="T278" s="230">
        <v>0</v>
      </c>
      <c r="U278" s="230">
        <v>689046</v>
      </c>
      <c r="V278" s="232"/>
    </row>
    <row r="279" spans="1:22" x14ac:dyDescent="0.2">
      <c r="A279" s="227">
        <v>2019</v>
      </c>
      <c r="B279" s="227" t="s">
        <v>1477</v>
      </c>
      <c r="C279" s="228" t="s">
        <v>298</v>
      </c>
      <c r="D279" s="229"/>
      <c r="E279" s="229"/>
      <c r="F279" s="229" t="s">
        <v>298</v>
      </c>
      <c r="G279" s="228" t="s">
        <v>1410</v>
      </c>
      <c r="H279" s="230">
        <v>0</v>
      </c>
      <c r="I279" s="230">
        <v>6</v>
      </c>
      <c r="J279" s="231"/>
      <c r="K279" s="230">
        <v>145527</v>
      </c>
      <c r="L279" s="230">
        <v>0</v>
      </c>
      <c r="M279" s="230">
        <v>145527</v>
      </c>
      <c r="N279" s="231"/>
      <c r="O279" s="230">
        <v>55896</v>
      </c>
      <c r="P279" s="230">
        <v>0</v>
      </c>
      <c r="Q279" s="230">
        <v>55896</v>
      </c>
      <c r="R279" s="231"/>
      <c r="S279" s="230">
        <v>201423</v>
      </c>
      <c r="T279" s="230">
        <v>0</v>
      </c>
      <c r="U279" s="230">
        <v>201423</v>
      </c>
      <c r="V279" s="232"/>
    </row>
    <row r="280" spans="1:22" x14ac:dyDescent="0.2">
      <c r="A280" s="227">
        <v>2019</v>
      </c>
      <c r="B280" s="227" t="s">
        <v>1471</v>
      </c>
      <c r="C280" s="228" t="s">
        <v>272</v>
      </c>
      <c r="D280" s="229"/>
      <c r="E280" s="229"/>
      <c r="F280" s="229" t="s">
        <v>272</v>
      </c>
      <c r="G280" s="228" t="s">
        <v>1411</v>
      </c>
      <c r="H280" s="230">
        <v>0</v>
      </c>
      <c r="I280" s="230">
        <v>7</v>
      </c>
      <c r="J280" s="231"/>
      <c r="K280" s="230">
        <v>169235.25</v>
      </c>
      <c r="L280" s="230">
        <v>0</v>
      </c>
      <c r="M280" s="230">
        <v>169235.25</v>
      </c>
      <c r="N280" s="231"/>
      <c r="O280" s="230">
        <v>58189.75</v>
      </c>
      <c r="P280" s="230">
        <v>0</v>
      </c>
      <c r="Q280" s="230">
        <v>58189.75</v>
      </c>
      <c r="R280" s="231"/>
      <c r="S280" s="230">
        <v>227425</v>
      </c>
      <c r="T280" s="230">
        <v>0</v>
      </c>
      <c r="U280" s="230">
        <v>227425</v>
      </c>
      <c r="V280" s="232"/>
    </row>
    <row r="281" spans="1:22" x14ac:dyDescent="0.2">
      <c r="A281" s="227">
        <v>2019</v>
      </c>
      <c r="B281" s="227" t="s">
        <v>1472</v>
      </c>
      <c r="C281" s="228" t="s">
        <v>299</v>
      </c>
      <c r="D281" s="229"/>
      <c r="E281" s="229"/>
      <c r="F281" s="229" t="s">
        <v>299</v>
      </c>
      <c r="G281" s="228" t="s">
        <v>1412</v>
      </c>
      <c r="H281" s="230">
        <v>4</v>
      </c>
      <c r="I281" s="230">
        <v>4</v>
      </c>
      <c r="J281" s="231"/>
      <c r="K281" s="230">
        <v>61983</v>
      </c>
      <c r="L281" s="230">
        <v>30991.5</v>
      </c>
      <c r="M281" s="230">
        <v>30991.5</v>
      </c>
      <c r="N281" s="231"/>
      <c r="O281" s="230">
        <v>21460</v>
      </c>
      <c r="P281" s="230">
        <v>10730</v>
      </c>
      <c r="Q281" s="230">
        <v>10730</v>
      </c>
      <c r="R281" s="231"/>
      <c r="S281" s="230">
        <v>83443</v>
      </c>
      <c r="T281" s="230">
        <v>41721.5</v>
      </c>
      <c r="U281" s="230">
        <v>41721.5</v>
      </c>
      <c r="V281" s="232"/>
    </row>
    <row r="282" spans="1:22" x14ac:dyDescent="0.2">
      <c r="A282" s="227">
        <v>2019</v>
      </c>
      <c r="B282" s="227" t="s">
        <v>1479</v>
      </c>
      <c r="C282" s="228" t="s">
        <v>300</v>
      </c>
      <c r="D282" s="229"/>
      <c r="E282" s="229"/>
      <c r="F282" s="229" t="s">
        <v>300</v>
      </c>
      <c r="G282" s="228" t="s">
        <v>1413</v>
      </c>
      <c r="H282" s="230">
        <v>1</v>
      </c>
      <c r="I282" s="230">
        <v>1</v>
      </c>
      <c r="J282" s="231"/>
      <c r="K282" s="230">
        <v>42564.75</v>
      </c>
      <c r="L282" s="230">
        <v>21282.38</v>
      </c>
      <c r="M282" s="230">
        <v>21282.37</v>
      </c>
      <c r="N282" s="231"/>
      <c r="O282" s="230">
        <v>14792.25</v>
      </c>
      <c r="P282" s="230">
        <v>7396.13</v>
      </c>
      <c r="Q282" s="230">
        <v>7396.12</v>
      </c>
      <c r="R282" s="231"/>
      <c r="S282" s="230">
        <v>57357</v>
      </c>
      <c r="T282" s="230">
        <v>28678.510000000002</v>
      </c>
      <c r="U282" s="230">
        <v>28678.489999999998</v>
      </c>
      <c r="V282" s="232"/>
    </row>
    <row r="283" spans="1:22" x14ac:dyDescent="0.2">
      <c r="A283" s="227">
        <v>2019</v>
      </c>
      <c r="B283" s="227" t="s">
        <v>1475</v>
      </c>
      <c r="C283" s="228" t="s">
        <v>301</v>
      </c>
      <c r="D283" s="229"/>
      <c r="E283" s="229"/>
      <c r="F283" s="229" t="s">
        <v>301</v>
      </c>
      <c r="G283" s="228" t="s">
        <v>1414</v>
      </c>
      <c r="H283" s="230">
        <v>0</v>
      </c>
      <c r="I283" s="230">
        <v>3</v>
      </c>
      <c r="J283" s="231"/>
      <c r="K283" s="230">
        <v>246904.5</v>
      </c>
      <c r="L283" s="230">
        <v>0</v>
      </c>
      <c r="M283" s="230">
        <v>246904.5</v>
      </c>
      <c r="N283" s="231"/>
      <c r="O283" s="230">
        <v>91858.5</v>
      </c>
      <c r="P283" s="230">
        <v>0</v>
      </c>
      <c r="Q283" s="230">
        <v>91858.5</v>
      </c>
      <c r="R283" s="231"/>
      <c r="S283" s="230">
        <v>338763</v>
      </c>
      <c r="T283" s="230">
        <v>0</v>
      </c>
      <c r="U283" s="230">
        <v>338763</v>
      </c>
      <c r="V283" s="232"/>
    </row>
    <row r="284" spans="1:22" x14ac:dyDescent="0.2">
      <c r="A284" s="227">
        <v>2019</v>
      </c>
      <c r="B284" s="227" t="s">
        <v>1475</v>
      </c>
      <c r="C284" s="228" t="s">
        <v>302</v>
      </c>
      <c r="D284" s="229"/>
      <c r="E284" s="229"/>
      <c r="F284" s="229" t="s">
        <v>302</v>
      </c>
      <c r="G284" s="228" t="s">
        <v>1415</v>
      </c>
      <c r="H284" s="230">
        <v>0</v>
      </c>
      <c r="I284" s="230">
        <v>9</v>
      </c>
      <c r="J284" s="231"/>
      <c r="K284" s="230">
        <v>73737</v>
      </c>
      <c r="L284" s="230">
        <v>0</v>
      </c>
      <c r="M284" s="230">
        <v>73737</v>
      </c>
      <c r="N284" s="231"/>
      <c r="O284" s="230">
        <v>27305</v>
      </c>
      <c r="P284" s="230">
        <v>0</v>
      </c>
      <c r="Q284" s="230">
        <v>27305</v>
      </c>
      <c r="R284" s="231"/>
      <c r="S284" s="230">
        <v>101042</v>
      </c>
      <c r="T284" s="230">
        <v>0</v>
      </c>
      <c r="U284" s="230">
        <v>101042</v>
      </c>
      <c r="V284" s="232"/>
    </row>
    <row r="285" spans="1:22" x14ac:dyDescent="0.2">
      <c r="A285" s="227">
        <v>2019</v>
      </c>
      <c r="B285" s="227" t="s">
        <v>1471</v>
      </c>
      <c r="C285" s="228" t="s">
        <v>304</v>
      </c>
      <c r="D285" s="229"/>
      <c r="E285" s="229"/>
      <c r="F285" s="229" t="s">
        <v>304</v>
      </c>
      <c r="G285" s="228" t="s">
        <v>1416</v>
      </c>
      <c r="H285" s="230">
        <v>0</v>
      </c>
      <c r="I285" s="230">
        <v>7</v>
      </c>
      <c r="J285" s="231"/>
      <c r="K285" s="230">
        <v>250730.25</v>
      </c>
      <c r="L285" s="230">
        <v>0</v>
      </c>
      <c r="M285" s="230">
        <v>250730.25</v>
      </c>
      <c r="N285" s="231"/>
      <c r="O285" s="230">
        <v>90219.75</v>
      </c>
      <c r="P285" s="230">
        <v>0</v>
      </c>
      <c r="Q285" s="230">
        <v>90219.75</v>
      </c>
      <c r="R285" s="231"/>
      <c r="S285" s="230">
        <v>340950</v>
      </c>
      <c r="T285" s="230">
        <v>0</v>
      </c>
      <c r="U285" s="230">
        <v>340950</v>
      </c>
      <c r="V285" s="232"/>
    </row>
    <row r="286" spans="1:22" x14ac:dyDescent="0.2">
      <c r="A286" s="227">
        <v>2019</v>
      </c>
      <c r="B286" s="227" t="s">
        <v>1477</v>
      </c>
      <c r="C286" s="228" t="s">
        <v>305</v>
      </c>
      <c r="D286" s="229"/>
      <c r="E286" s="229"/>
      <c r="F286" s="229" t="s">
        <v>305</v>
      </c>
      <c r="G286" s="228" t="s">
        <v>1417</v>
      </c>
      <c r="H286" s="230">
        <v>5</v>
      </c>
      <c r="I286" s="230">
        <v>5</v>
      </c>
      <c r="J286" s="231"/>
      <c r="K286" s="230">
        <v>389337</v>
      </c>
      <c r="L286" s="230">
        <v>194668.5</v>
      </c>
      <c r="M286" s="230">
        <v>194668.5</v>
      </c>
      <c r="N286" s="231"/>
      <c r="O286" s="230">
        <v>164807</v>
      </c>
      <c r="P286" s="230">
        <v>82403.5</v>
      </c>
      <c r="Q286" s="230">
        <v>82403.5</v>
      </c>
      <c r="R286" s="231"/>
      <c r="S286" s="230">
        <v>554144</v>
      </c>
      <c r="T286" s="230">
        <v>277072</v>
      </c>
      <c r="U286" s="230">
        <v>277072</v>
      </c>
      <c r="V286" s="232"/>
    </row>
    <row r="287" spans="1:22" x14ac:dyDescent="0.2">
      <c r="A287" s="227">
        <v>2019</v>
      </c>
      <c r="B287" s="227" t="s">
        <v>1472</v>
      </c>
      <c r="C287" s="228" t="s">
        <v>306</v>
      </c>
      <c r="D287" s="229"/>
      <c r="E287" s="229"/>
      <c r="F287" s="229" t="s">
        <v>306</v>
      </c>
      <c r="G287" s="228" t="s">
        <v>1418</v>
      </c>
      <c r="H287" s="230">
        <v>0</v>
      </c>
      <c r="I287" s="230">
        <v>5</v>
      </c>
      <c r="J287" s="231"/>
      <c r="K287" s="230">
        <v>108752.25</v>
      </c>
      <c r="L287" s="230">
        <v>0</v>
      </c>
      <c r="M287" s="230">
        <v>108752.25</v>
      </c>
      <c r="N287" s="231"/>
      <c r="O287" s="230">
        <v>44274.75</v>
      </c>
      <c r="P287" s="230">
        <v>0</v>
      </c>
      <c r="Q287" s="230">
        <v>44274.75</v>
      </c>
      <c r="R287" s="231"/>
      <c r="S287" s="230">
        <v>153027</v>
      </c>
      <c r="T287" s="230">
        <v>0</v>
      </c>
      <c r="U287" s="230">
        <v>153027</v>
      </c>
      <c r="V287" s="232"/>
    </row>
    <row r="288" spans="1:22" x14ac:dyDescent="0.2">
      <c r="A288" s="227">
        <v>2019</v>
      </c>
      <c r="B288" s="227" t="s">
        <v>1472</v>
      </c>
      <c r="C288" s="228" t="s">
        <v>307</v>
      </c>
      <c r="D288" s="229"/>
      <c r="E288" s="229"/>
      <c r="F288" s="229" t="s">
        <v>307</v>
      </c>
      <c r="G288" s="228" t="s">
        <v>1419</v>
      </c>
      <c r="H288" s="230">
        <v>0</v>
      </c>
      <c r="I288" s="230">
        <v>8</v>
      </c>
      <c r="J288" s="231"/>
      <c r="K288" s="230">
        <v>166633.5</v>
      </c>
      <c r="L288" s="230">
        <v>0</v>
      </c>
      <c r="M288" s="230">
        <v>166633.5</v>
      </c>
      <c r="N288" s="231"/>
      <c r="O288" s="230">
        <v>60282.5</v>
      </c>
      <c r="P288" s="230">
        <v>0</v>
      </c>
      <c r="Q288" s="230">
        <v>60282.5</v>
      </c>
      <c r="R288" s="231"/>
      <c r="S288" s="230">
        <v>226916</v>
      </c>
      <c r="T288" s="230">
        <v>0</v>
      </c>
      <c r="U288" s="230">
        <v>226916</v>
      </c>
    </row>
    <row r="289" spans="1:21" x14ac:dyDescent="0.2">
      <c r="A289" s="227">
        <v>2019</v>
      </c>
      <c r="B289" s="227" t="s">
        <v>1476</v>
      </c>
      <c r="C289" s="228" t="s">
        <v>308</v>
      </c>
      <c r="D289" s="229"/>
      <c r="E289" s="229"/>
      <c r="F289" s="229" t="s">
        <v>308</v>
      </c>
      <c r="G289" s="228" t="s">
        <v>1420</v>
      </c>
      <c r="H289" s="230">
        <v>0</v>
      </c>
      <c r="I289" s="230">
        <v>0</v>
      </c>
      <c r="J289" s="231"/>
      <c r="K289" s="230">
        <v>0</v>
      </c>
      <c r="L289" s="230">
        <v>0</v>
      </c>
      <c r="M289" s="230">
        <v>0</v>
      </c>
      <c r="N289" s="231"/>
      <c r="O289" s="230">
        <v>0</v>
      </c>
      <c r="P289" s="230">
        <v>0</v>
      </c>
      <c r="Q289" s="230">
        <v>0</v>
      </c>
      <c r="R289" s="231"/>
      <c r="S289" s="230">
        <v>0</v>
      </c>
      <c r="T289" s="230">
        <v>0</v>
      </c>
      <c r="U289" s="230">
        <v>0</v>
      </c>
    </row>
    <row r="290" spans="1:21" x14ac:dyDescent="0.2">
      <c r="A290" s="227">
        <v>2019</v>
      </c>
      <c r="B290" s="227" t="s">
        <v>1471</v>
      </c>
      <c r="C290" s="228" t="s">
        <v>309</v>
      </c>
      <c r="D290" s="229"/>
      <c r="E290" s="229"/>
      <c r="F290" s="229" t="s">
        <v>309</v>
      </c>
      <c r="G290" s="228" t="s">
        <v>1421</v>
      </c>
      <c r="H290" s="230">
        <v>0</v>
      </c>
      <c r="I290" s="230">
        <v>9</v>
      </c>
      <c r="J290" s="231"/>
      <c r="K290" s="230">
        <v>143899.5</v>
      </c>
      <c r="L290" s="230">
        <v>0</v>
      </c>
      <c r="M290" s="230">
        <v>143899.5</v>
      </c>
      <c r="N290" s="231"/>
      <c r="O290" s="230">
        <v>50580.5</v>
      </c>
      <c r="P290" s="230">
        <v>0</v>
      </c>
      <c r="Q290" s="230">
        <v>50580.5</v>
      </c>
      <c r="R290" s="231"/>
      <c r="S290" s="230">
        <v>194480</v>
      </c>
      <c r="T290" s="230">
        <v>0</v>
      </c>
      <c r="U290" s="230">
        <v>194480</v>
      </c>
    </row>
    <row r="291" spans="1:21" x14ac:dyDescent="0.2">
      <c r="A291" s="227">
        <v>2019</v>
      </c>
      <c r="B291" s="227" t="s">
        <v>1479</v>
      </c>
      <c r="C291" s="228" t="s">
        <v>310</v>
      </c>
      <c r="D291" s="229"/>
      <c r="E291" s="229"/>
      <c r="F291" s="229" t="s">
        <v>310</v>
      </c>
      <c r="G291" s="228" t="s">
        <v>1422</v>
      </c>
      <c r="H291" s="230">
        <v>0</v>
      </c>
      <c r="I291" s="230">
        <v>0</v>
      </c>
      <c r="J291" s="231"/>
      <c r="K291" s="230">
        <v>0</v>
      </c>
      <c r="L291" s="230">
        <v>0</v>
      </c>
      <c r="M291" s="230">
        <v>0</v>
      </c>
      <c r="N291" s="231"/>
      <c r="O291" s="230">
        <v>0</v>
      </c>
      <c r="P291" s="230">
        <v>0</v>
      </c>
      <c r="Q291" s="230">
        <v>0</v>
      </c>
      <c r="R291" s="231"/>
      <c r="S291" s="230">
        <v>0</v>
      </c>
      <c r="T291" s="230">
        <v>0</v>
      </c>
      <c r="U291" s="230">
        <v>0</v>
      </c>
    </row>
    <row r="292" spans="1:21" x14ac:dyDescent="0.2">
      <c r="A292" s="227">
        <v>2019</v>
      </c>
      <c r="B292" s="227" t="s">
        <v>1470</v>
      </c>
      <c r="C292" s="228" t="s">
        <v>311</v>
      </c>
      <c r="D292" s="229"/>
      <c r="E292" s="229"/>
      <c r="F292" s="229" t="s">
        <v>311</v>
      </c>
      <c r="G292" s="228" t="s">
        <v>1423</v>
      </c>
      <c r="H292" s="230">
        <v>0</v>
      </c>
      <c r="I292" s="230">
        <v>4</v>
      </c>
      <c r="J292" s="231"/>
      <c r="K292" s="230">
        <v>51280.5</v>
      </c>
      <c r="L292" s="230">
        <v>0</v>
      </c>
      <c r="M292" s="230">
        <v>51280.5</v>
      </c>
      <c r="N292" s="231"/>
      <c r="O292" s="230">
        <v>18789.5</v>
      </c>
      <c r="P292" s="230">
        <v>0</v>
      </c>
      <c r="Q292" s="230">
        <v>18789.5</v>
      </c>
      <c r="R292" s="231"/>
      <c r="S292" s="230">
        <v>70070</v>
      </c>
      <c r="T292" s="230">
        <v>0</v>
      </c>
      <c r="U292" s="230">
        <v>70070</v>
      </c>
    </row>
    <row r="293" spans="1:21" x14ac:dyDescent="0.2">
      <c r="A293" s="227">
        <v>2019</v>
      </c>
      <c r="B293" s="227" t="s">
        <v>1475</v>
      </c>
      <c r="C293" s="228" t="s">
        <v>312</v>
      </c>
      <c r="D293" s="229"/>
      <c r="E293" s="229"/>
      <c r="F293" s="229" t="s">
        <v>312</v>
      </c>
      <c r="G293" s="228" t="s">
        <v>1424</v>
      </c>
      <c r="H293" s="230">
        <v>0</v>
      </c>
      <c r="I293" s="230">
        <v>10</v>
      </c>
      <c r="J293" s="231"/>
      <c r="K293" s="230">
        <v>64172.25</v>
      </c>
      <c r="L293" s="230">
        <v>0</v>
      </c>
      <c r="M293" s="230">
        <v>64172.25</v>
      </c>
      <c r="N293" s="231"/>
      <c r="O293" s="230">
        <v>22138.75</v>
      </c>
      <c r="P293" s="230">
        <v>0</v>
      </c>
      <c r="Q293" s="230">
        <v>22138.75</v>
      </c>
      <c r="R293" s="231"/>
      <c r="S293" s="230">
        <v>86311</v>
      </c>
      <c r="T293" s="230">
        <v>0</v>
      </c>
      <c r="U293" s="230">
        <v>86311</v>
      </c>
    </row>
    <row r="294" spans="1:21" x14ac:dyDescent="0.2">
      <c r="A294" s="227">
        <v>2019</v>
      </c>
      <c r="B294" s="227" t="s">
        <v>1472</v>
      </c>
      <c r="C294" s="228" t="s">
        <v>313</v>
      </c>
      <c r="D294" s="229"/>
      <c r="E294" s="229"/>
      <c r="F294" s="229" t="s">
        <v>313</v>
      </c>
      <c r="G294" s="228" t="s">
        <v>1425</v>
      </c>
      <c r="H294" s="230">
        <v>0</v>
      </c>
      <c r="I294" s="230">
        <v>0</v>
      </c>
      <c r="J294" s="231"/>
      <c r="K294" s="230">
        <v>0</v>
      </c>
      <c r="L294" s="230">
        <v>0</v>
      </c>
      <c r="M294" s="230">
        <v>0</v>
      </c>
      <c r="N294" s="231"/>
      <c r="O294" s="230">
        <v>0</v>
      </c>
      <c r="P294" s="230">
        <v>0</v>
      </c>
      <c r="Q294" s="230">
        <v>0</v>
      </c>
      <c r="R294" s="231"/>
      <c r="S294" s="230">
        <v>0</v>
      </c>
      <c r="T294" s="230">
        <v>0</v>
      </c>
      <c r="U294" s="230">
        <v>0</v>
      </c>
    </row>
    <row r="295" spans="1:21" x14ac:dyDescent="0.2">
      <c r="A295" s="227">
        <v>2019</v>
      </c>
      <c r="B295" s="227" t="s">
        <v>1471</v>
      </c>
      <c r="C295" s="228" t="s">
        <v>115</v>
      </c>
      <c r="D295" s="229"/>
      <c r="E295" s="229"/>
      <c r="F295" s="229" t="s">
        <v>700</v>
      </c>
      <c r="G295" s="228" t="s">
        <v>1426</v>
      </c>
      <c r="H295" s="230">
        <v>0</v>
      </c>
      <c r="I295" s="230">
        <v>8</v>
      </c>
      <c r="J295" s="231"/>
      <c r="K295" s="230">
        <v>409863.75</v>
      </c>
      <c r="L295" s="230">
        <v>0</v>
      </c>
      <c r="M295" s="230">
        <v>409863.75</v>
      </c>
      <c r="N295" s="231"/>
      <c r="O295" s="230">
        <v>160960.25</v>
      </c>
      <c r="P295" s="230">
        <v>0</v>
      </c>
      <c r="Q295" s="230">
        <v>160960.25</v>
      </c>
      <c r="R295" s="231"/>
      <c r="S295" s="230">
        <v>570824</v>
      </c>
      <c r="T295" s="230">
        <v>0</v>
      </c>
      <c r="U295" s="230">
        <v>570824</v>
      </c>
    </row>
    <row r="296" spans="1:21" x14ac:dyDescent="0.2">
      <c r="A296" s="227">
        <v>2019</v>
      </c>
      <c r="B296" s="227" t="s">
        <v>1470</v>
      </c>
      <c r="C296" s="228" t="s">
        <v>314</v>
      </c>
      <c r="D296" s="229"/>
      <c r="E296" s="229"/>
      <c r="F296" s="229" t="s">
        <v>314</v>
      </c>
      <c r="G296" s="228" t="s">
        <v>1427</v>
      </c>
      <c r="H296" s="230">
        <v>0</v>
      </c>
      <c r="I296" s="230">
        <v>7</v>
      </c>
      <c r="J296" s="231"/>
      <c r="K296" s="230">
        <v>135313.5</v>
      </c>
      <c r="L296" s="230">
        <v>0</v>
      </c>
      <c r="M296" s="230">
        <v>135313.5</v>
      </c>
      <c r="N296" s="231"/>
      <c r="O296" s="230">
        <v>51721.5</v>
      </c>
      <c r="P296" s="230">
        <v>0</v>
      </c>
      <c r="Q296" s="230">
        <v>51721.5</v>
      </c>
      <c r="R296" s="231"/>
      <c r="S296" s="230">
        <v>187035</v>
      </c>
      <c r="T296" s="230">
        <v>0</v>
      </c>
      <c r="U296" s="230">
        <v>187035</v>
      </c>
    </row>
    <row r="297" spans="1:21" x14ac:dyDescent="0.2">
      <c r="A297" s="227">
        <v>2019</v>
      </c>
      <c r="B297" s="227" t="s">
        <v>1470</v>
      </c>
      <c r="C297" s="228" t="s">
        <v>315</v>
      </c>
      <c r="D297" s="229"/>
      <c r="E297" s="229"/>
      <c r="F297" s="229" t="s">
        <v>315</v>
      </c>
      <c r="G297" s="228" t="s">
        <v>1428</v>
      </c>
      <c r="H297" s="230">
        <v>0</v>
      </c>
      <c r="I297" s="230">
        <v>0</v>
      </c>
      <c r="J297" s="231"/>
      <c r="K297" s="230">
        <v>0</v>
      </c>
      <c r="L297" s="230">
        <v>0</v>
      </c>
      <c r="M297" s="230">
        <v>0</v>
      </c>
      <c r="N297" s="231"/>
      <c r="O297" s="230">
        <v>0</v>
      </c>
      <c r="P297" s="230">
        <v>0</v>
      </c>
      <c r="Q297" s="230">
        <v>0</v>
      </c>
      <c r="R297" s="231"/>
      <c r="S297" s="230">
        <v>0</v>
      </c>
      <c r="T297" s="230">
        <v>0</v>
      </c>
      <c r="U297" s="230">
        <v>0</v>
      </c>
    </row>
    <row r="298" spans="1:21" x14ac:dyDescent="0.2">
      <c r="A298" s="227">
        <v>2019</v>
      </c>
      <c r="B298" s="227" t="s">
        <v>1476</v>
      </c>
      <c r="C298" s="228" t="s">
        <v>317</v>
      </c>
      <c r="D298" s="229"/>
      <c r="E298" s="229"/>
      <c r="F298" s="229" t="s">
        <v>317</v>
      </c>
      <c r="G298" s="228" t="s">
        <v>1429</v>
      </c>
      <c r="H298" s="230">
        <v>0</v>
      </c>
      <c r="I298" s="230">
        <v>9</v>
      </c>
      <c r="J298" s="231"/>
      <c r="K298" s="230">
        <v>253993.5</v>
      </c>
      <c r="L298" s="230">
        <v>0</v>
      </c>
      <c r="M298" s="230">
        <v>253993.5</v>
      </c>
      <c r="N298" s="231"/>
      <c r="O298" s="230">
        <v>95941.5</v>
      </c>
      <c r="P298" s="230">
        <v>0</v>
      </c>
      <c r="Q298" s="230">
        <v>95941.5</v>
      </c>
      <c r="R298" s="231"/>
      <c r="S298" s="230">
        <v>349935</v>
      </c>
      <c r="T298" s="230">
        <v>0</v>
      </c>
      <c r="U298" s="230">
        <v>349935</v>
      </c>
    </row>
    <row r="299" spans="1:21" x14ac:dyDescent="0.2">
      <c r="A299" s="227">
        <v>2019</v>
      </c>
      <c r="B299" s="227" t="s">
        <v>1470</v>
      </c>
      <c r="C299" s="228" t="s">
        <v>318</v>
      </c>
      <c r="D299" s="229"/>
      <c r="E299" s="229"/>
      <c r="F299" s="229" t="s">
        <v>318</v>
      </c>
      <c r="G299" s="228" t="s">
        <v>1430</v>
      </c>
      <c r="H299" s="230">
        <v>0</v>
      </c>
      <c r="I299" s="230">
        <v>4</v>
      </c>
      <c r="J299" s="231"/>
      <c r="K299" s="230">
        <v>213660</v>
      </c>
      <c r="L299" s="230">
        <v>0</v>
      </c>
      <c r="M299" s="230">
        <v>213660</v>
      </c>
      <c r="N299" s="231"/>
      <c r="O299" s="230">
        <v>124672</v>
      </c>
      <c r="P299" s="230">
        <v>0</v>
      </c>
      <c r="Q299" s="230">
        <v>124672</v>
      </c>
      <c r="R299" s="231"/>
      <c r="S299" s="230">
        <v>338332</v>
      </c>
      <c r="T299" s="230">
        <v>0</v>
      </c>
      <c r="U299" s="230">
        <v>338332</v>
      </c>
    </row>
    <row r="300" spans="1:21" x14ac:dyDescent="0.2">
      <c r="A300" s="227">
        <v>2019</v>
      </c>
      <c r="B300" s="227" t="s">
        <v>1472</v>
      </c>
      <c r="C300" s="228" t="s">
        <v>319</v>
      </c>
      <c r="D300" s="229"/>
      <c r="E300" s="229"/>
      <c r="F300" s="229" t="s">
        <v>319</v>
      </c>
      <c r="G300" s="228" t="s">
        <v>1431</v>
      </c>
      <c r="H300" s="230">
        <v>5</v>
      </c>
      <c r="I300" s="230">
        <v>0</v>
      </c>
      <c r="J300" s="231"/>
      <c r="K300" s="230">
        <v>54022.5</v>
      </c>
      <c r="L300" s="230">
        <v>54022.5</v>
      </c>
      <c r="M300" s="230">
        <v>0</v>
      </c>
      <c r="N300" s="231"/>
      <c r="O300" s="230">
        <v>18591.5</v>
      </c>
      <c r="P300" s="230">
        <v>18591.5</v>
      </c>
      <c r="Q300" s="230">
        <v>0</v>
      </c>
      <c r="R300" s="231"/>
      <c r="S300" s="230">
        <v>72614</v>
      </c>
      <c r="T300" s="230">
        <v>72614</v>
      </c>
      <c r="U300" s="230">
        <v>0</v>
      </c>
    </row>
    <row r="301" spans="1:21" x14ac:dyDescent="0.2">
      <c r="A301" s="227">
        <v>2019</v>
      </c>
      <c r="B301" s="227" t="s">
        <v>1477</v>
      </c>
      <c r="C301" s="228" t="s">
        <v>320</v>
      </c>
      <c r="D301" s="229"/>
      <c r="E301" s="229"/>
      <c r="F301" s="229" t="s">
        <v>320</v>
      </c>
      <c r="G301" s="228" t="s">
        <v>1432</v>
      </c>
      <c r="H301" s="230">
        <v>5</v>
      </c>
      <c r="I301" s="230">
        <v>2</v>
      </c>
      <c r="J301" s="231"/>
      <c r="K301" s="230">
        <v>468162</v>
      </c>
      <c r="L301" s="230">
        <v>334401.43</v>
      </c>
      <c r="M301" s="230">
        <v>133760.57</v>
      </c>
      <c r="N301" s="231"/>
      <c r="O301" s="230">
        <v>169760</v>
      </c>
      <c r="P301" s="230">
        <v>121257.14</v>
      </c>
      <c r="Q301" s="230">
        <v>48502.86</v>
      </c>
      <c r="R301" s="231"/>
      <c r="S301" s="230">
        <v>637922</v>
      </c>
      <c r="T301" s="230">
        <v>455658.57</v>
      </c>
      <c r="U301" s="230">
        <v>182263.43</v>
      </c>
    </row>
    <row r="302" spans="1:21" x14ac:dyDescent="0.2">
      <c r="A302" s="227">
        <v>2019</v>
      </c>
      <c r="B302" s="227" t="s">
        <v>1476</v>
      </c>
      <c r="C302" s="228" t="s">
        <v>321</v>
      </c>
      <c r="D302" s="229"/>
      <c r="E302" s="229"/>
      <c r="F302" s="229" t="s">
        <v>321</v>
      </c>
      <c r="G302" s="228" t="s">
        <v>1433</v>
      </c>
      <c r="H302" s="230">
        <v>0</v>
      </c>
      <c r="I302" s="230">
        <v>0</v>
      </c>
      <c r="J302" s="231"/>
      <c r="K302" s="230">
        <v>0</v>
      </c>
      <c r="L302" s="230">
        <v>0</v>
      </c>
      <c r="M302" s="230">
        <v>0</v>
      </c>
      <c r="N302" s="231"/>
      <c r="O302" s="230">
        <v>0</v>
      </c>
      <c r="P302" s="230">
        <v>0</v>
      </c>
      <c r="Q302" s="230">
        <v>0</v>
      </c>
      <c r="R302" s="231"/>
      <c r="S302" s="230">
        <v>0</v>
      </c>
      <c r="T302" s="230">
        <v>0</v>
      </c>
      <c r="U302" s="230">
        <v>0</v>
      </c>
    </row>
    <row r="303" spans="1:21" x14ac:dyDescent="0.2">
      <c r="A303" s="227">
        <v>2019</v>
      </c>
      <c r="B303" s="227" t="s">
        <v>1476</v>
      </c>
      <c r="C303" s="228" t="s">
        <v>323</v>
      </c>
      <c r="D303" s="229"/>
      <c r="E303" s="229"/>
      <c r="F303" s="229" t="s">
        <v>323</v>
      </c>
      <c r="G303" s="228" t="s">
        <v>1434</v>
      </c>
      <c r="H303" s="230">
        <v>2</v>
      </c>
      <c r="I303" s="230">
        <v>7</v>
      </c>
      <c r="J303" s="231"/>
      <c r="K303" s="230">
        <v>214339.5</v>
      </c>
      <c r="L303" s="230">
        <v>47631</v>
      </c>
      <c r="M303" s="230">
        <v>166708.5</v>
      </c>
      <c r="N303" s="231"/>
      <c r="O303" s="230">
        <v>74161.5</v>
      </c>
      <c r="P303" s="230">
        <v>16480.330000000002</v>
      </c>
      <c r="Q303" s="230">
        <v>57681.17</v>
      </c>
      <c r="R303" s="231"/>
      <c r="S303" s="230">
        <v>288501</v>
      </c>
      <c r="T303" s="230">
        <v>64111.33</v>
      </c>
      <c r="U303" s="230">
        <v>224389.66999999998</v>
      </c>
    </row>
    <row r="304" spans="1:21" x14ac:dyDescent="0.2">
      <c r="A304" s="227">
        <v>2019</v>
      </c>
      <c r="B304" s="227" t="s">
        <v>1471</v>
      </c>
      <c r="C304" s="228" t="s">
        <v>324</v>
      </c>
      <c r="D304" s="229"/>
      <c r="E304" s="229"/>
      <c r="F304" s="229" t="s">
        <v>324</v>
      </c>
      <c r="G304" s="228" t="s">
        <v>1435</v>
      </c>
      <c r="H304" s="230">
        <v>2</v>
      </c>
      <c r="I304" s="230">
        <v>9</v>
      </c>
      <c r="J304" s="231"/>
      <c r="K304" s="230">
        <v>270621</v>
      </c>
      <c r="L304" s="230">
        <v>49203.82</v>
      </c>
      <c r="M304" s="230">
        <v>221417.18</v>
      </c>
      <c r="N304" s="231"/>
      <c r="O304" s="230">
        <v>100862</v>
      </c>
      <c r="P304" s="230">
        <v>18338.55</v>
      </c>
      <c r="Q304" s="230">
        <v>82523.45</v>
      </c>
      <c r="R304" s="231"/>
      <c r="S304" s="230">
        <v>371483</v>
      </c>
      <c r="T304" s="230">
        <v>67542.37</v>
      </c>
      <c r="U304" s="230">
        <v>303940.63</v>
      </c>
    </row>
    <row r="305" spans="1:21" x14ac:dyDescent="0.2">
      <c r="A305" s="227">
        <v>2019</v>
      </c>
      <c r="B305" s="227" t="s">
        <v>1477</v>
      </c>
      <c r="C305" s="228" t="s">
        <v>325</v>
      </c>
      <c r="D305" s="229"/>
      <c r="E305" s="229"/>
      <c r="F305" s="229" t="s">
        <v>325</v>
      </c>
      <c r="G305" s="228" t="s">
        <v>1436</v>
      </c>
      <c r="H305" s="230">
        <v>0</v>
      </c>
      <c r="I305" s="230">
        <v>9</v>
      </c>
      <c r="J305" s="231"/>
      <c r="K305" s="230">
        <v>586408.5</v>
      </c>
      <c r="L305" s="230">
        <v>0</v>
      </c>
      <c r="M305" s="230">
        <v>586408.5</v>
      </c>
      <c r="N305" s="231"/>
      <c r="O305" s="230">
        <v>218138.5</v>
      </c>
      <c r="P305" s="230">
        <v>0</v>
      </c>
      <c r="Q305" s="230">
        <v>218138.5</v>
      </c>
      <c r="R305" s="231"/>
      <c r="S305" s="230">
        <v>804547</v>
      </c>
      <c r="T305" s="230">
        <v>0</v>
      </c>
      <c r="U305" s="230">
        <v>804547</v>
      </c>
    </row>
    <row r="306" spans="1:21" x14ac:dyDescent="0.2">
      <c r="A306" s="227">
        <v>2019</v>
      </c>
      <c r="B306" s="227" t="s">
        <v>1471</v>
      </c>
      <c r="C306" s="228" t="s">
        <v>326</v>
      </c>
      <c r="D306" s="229"/>
      <c r="E306" s="229"/>
      <c r="F306" s="229" t="s">
        <v>326</v>
      </c>
      <c r="G306" s="228" t="s">
        <v>1437</v>
      </c>
      <c r="H306" s="230">
        <v>0</v>
      </c>
      <c r="I306" s="230">
        <v>0</v>
      </c>
      <c r="J306" s="231"/>
      <c r="K306" s="230">
        <v>0</v>
      </c>
      <c r="L306" s="230">
        <v>0</v>
      </c>
      <c r="M306" s="230">
        <v>0</v>
      </c>
      <c r="N306" s="231"/>
      <c r="O306" s="230">
        <v>0</v>
      </c>
      <c r="P306" s="230">
        <v>0</v>
      </c>
      <c r="Q306" s="230">
        <v>0</v>
      </c>
      <c r="R306" s="231"/>
      <c r="S306" s="230">
        <v>0</v>
      </c>
      <c r="T306" s="230">
        <v>0</v>
      </c>
      <c r="U306" s="230">
        <v>0</v>
      </c>
    </row>
    <row r="307" spans="1:21" x14ac:dyDescent="0.2">
      <c r="A307" s="227">
        <v>2019</v>
      </c>
      <c r="B307" s="227" t="s">
        <v>1470</v>
      </c>
      <c r="C307" s="228" t="s">
        <v>327</v>
      </c>
      <c r="D307" s="229"/>
      <c r="E307" s="229"/>
      <c r="F307" s="229" t="s">
        <v>327</v>
      </c>
      <c r="G307" s="228" t="s">
        <v>1438</v>
      </c>
      <c r="H307" s="230">
        <v>0</v>
      </c>
      <c r="I307" s="230">
        <v>0</v>
      </c>
      <c r="J307" s="231"/>
      <c r="K307" s="230">
        <v>0</v>
      </c>
      <c r="L307" s="230">
        <v>0</v>
      </c>
      <c r="M307" s="230">
        <v>0</v>
      </c>
      <c r="N307" s="231"/>
      <c r="O307" s="230">
        <v>0</v>
      </c>
      <c r="P307" s="230">
        <v>0</v>
      </c>
      <c r="Q307" s="230">
        <v>0</v>
      </c>
      <c r="R307" s="231"/>
      <c r="S307" s="230">
        <v>0</v>
      </c>
      <c r="T307" s="230">
        <v>0</v>
      </c>
      <c r="U307" s="230">
        <v>0</v>
      </c>
    </row>
    <row r="308" spans="1:21" x14ac:dyDescent="0.2">
      <c r="A308" s="227">
        <v>2019</v>
      </c>
      <c r="B308" s="227" t="s">
        <v>1471</v>
      </c>
      <c r="C308" s="228" t="s">
        <v>328</v>
      </c>
      <c r="D308" s="229"/>
      <c r="E308" s="229"/>
      <c r="F308" s="229" t="s">
        <v>328</v>
      </c>
      <c r="G308" s="228" t="s">
        <v>1439</v>
      </c>
      <c r="H308" s="230">
        <v>0</v>
      </c>
      <c r="I308" s="230">
        <v>6</v>
      </c>
      <c r="J308" s="231"/>
      <c r="K308" s="230">
        <v>652002</v>
      </c>
      <c r="L308" s="230">
        <v>0</v>
      </c>
      <c r="M308" s="230">
        <v>652002</v>
      </c>
      <c r="N308" s="231"/>
      <c r="O308" s="230">
        <v>230844</v>
      </c>
      <c r="P308" s="230">
        <v>0</v>
      </c>
      <c r="Q308" s="230">
        <v>230844</v>
      </c>
      <c r="R308" s="231"/>
      <c r="S308" s="230">
        <v>882846</v>
      </c>
      <c r="T308" s="230">
        <v>0</v>
      </c>
      <c r="U308" s="230">
        <v>882846</v>
      </c>
    </row>
    <row r="309" spans="1:21" x14ac:dyDescent="0.2">
      <c r="A309" s="227">
        <v>2019</v>
      </c>
      <c r="B309" s="227" t="s">
        <v>1476</v>
      </c>
      <c r="C309" s="228" t="s">
        <v>329</v>
      </c>
      <c r="D309" s="229"/>
      <c r="E309" s="229"/>
      <c r="F309" s="229" t="s">
        <v>329</v>
      </c>
      <c r="G309" s="228" t="s">
        <v>1440</v>
      </c>
      <c r="H309" s="230">
        <v>0</v>
      </c>
      <c r="I309" s="230">
        <v>2</v>
      </c>
      <c r="J309" s="231"/>
      <c r="K309" s="230">
        <v>40341</v>
      </c>
      <c r="L309" s="230">
        <v>0</v>
      </c>
      <c r="M309" s="230">
        <v>40341</v>
      </c>
      <c r="N309" s="231"/>
      <c r="O309" s="230">
        <v>15593</v>
      </c>
      <c r="P309" s="230">
        <v>0</v>
      </c>
      <c r="Q309" s="230">
        <v>15593</v>
      </c>
      <c r="R309" s="231"/>
      <c r="S309" s="230">
        <v>55934</v>
      </c>
      <c r="T309" s="230">
        <v>0</v>
      </c>
      <c r="U309" s="230">
        <v>55934</v>
      </c>
    </row>
    <row r="310" spans="1:21" x14ac:dyDescent="0.2">
      <c r="A310" s="227">
        <v>2019</v>
      </c>
      <c r="B310" s="227" t="s">
        <v>1475</v>
      </c>
      <c r="C310" s="228" t="s">
        <v>330</v>
      </c>
      <c r="D310" s="229"/>
      <c r="E310" s="229"/>
      <c r="F310" s="229" t="s">
        <v>330</v>
      </c>
      <c r="G310" s="228" t="s">
        <v>1441</v>
      </c>
      <c r="H310" s="230">
        <v>0</v>
      </c>
      <c r="I310" s="230">
        <v>5</v>
      </c>
      <c r="J310" s="231"/>
      <c r="K310" s="230">
        <v>318779.25</v>
      </c>
      <c r="L310" s="230">
        <v>0</v>
      </c>
      <c r="M310" s="230">
        <v>318779.25</v>
      </c>
      <c r="N310" s="231"/>
      <c r="O310" s="230">
        <v>117983.75</v>
      </c>
      <c r="P310" s="230">
        <v>0</v>
      </c>
      <c r="Q310" s="230">
        <v>117983.75</v>
      </c>
      <c r="R310" s="231"/>
      <c r="S310" s="230">
        <v>436763</v>
      </c>
      <c r="T310" s="230">
        <v>0</v>
      </c>
      <c r="U310" s="230">
        <v>436763</v>
      </c>
    </row>
    <row r="311" spans="1:21" x14ac:dyDescent="0.2">
      <c r="A311" s="227">
        <v>2019</v>
      </c>
      <c r="B311" s="227" t="s">
        <v>1475</v>
      </c>
      <c r="C311" s="228" t="s">
        <v>331</v>
      </c>
      <c r="D311" s="229"/>
      <c r="E311" s="229"/>
      <c r="F311" s="229" t="s">
        <v>331</v>
      </c>
      <c r="G311" s="228" t="s">
        <v>1442</v>
      </c>
      <c r="H311" s="230">
        <v>0</v>
      </c>
      <c r="I311" s="230">
        <v>0</v>
      </c>
      <c r="J311" s="231"/>
      <c r="K311" s="230">
        <v>0</v>
      </c>
      <c r="L311" s="230">
        <v>0</v>
      </c>
      <c r="M311" s="230">
        <v>0</v>
      </c>
      <c r="N311" s="231"/>
      <c r="O311" s="230">
        <v>0</v>
      </c>
      <c r="P311" s="230">
        <v>0</v>
      </c>
      <c r="Q311" s="230">
        <v>0</v>
      </c>
      <c r="R311" s="231"/>
      <c r="S311" s="230">
        <v>0</v>
      </c>
      <c r="T311" s="230">
        <v>0</v>
      </c>
      <c r="U311" s="230">
        <v>0</v>
      </c>
    </row>
    <row r="312" spans="1:21" x14ac:dyDescent="0.2">
      <c r="A312" s="227">
        <v>2019</v>
      </c>
      <c r="B312" s="227" t="s">
        <v>1477</v>
      </c>
      <c r="C312" s="228" t="s">
        <v>332</v>
      </c>
      <c r="D312" s="229"/>
      <c r="E312" s="229"/>
      <c r="F312" s="229" t="s">
        <v>332</v>
      </c>
      <c r="G312" s="228" t="s">
        <v>1443</v>
      </c>
      <c r="H312" s="230">
        <v>1</v>
      </c>
      <c r="I312" s="230">
        <v>1</v>
      </c>
      <c r="J312" s="231"/>
      <c r="K312" s="230">
        <v>75752.25</v>
      </c>
      <c r="L312" s="230">
        <v>37876.129999999997</v>
      </c>
      <c r="M312" s="230">
        <v>37876.120000000003</v>
      </c>
      <c r="N312" s="231"/>
      <c r="O312" s="230">
        <v>29799.75</v>
      </c>
      <c r="P312" s="230">
        <v>14899.88</v>
      </c>
      <c r="Q312" s="230">
        <v>14899.87</v>
      </c>
      <c r="R312" s="231"/>
      <c r="S312" s="230">
        <v>105552</v>
      </c>
      <c r="T312" s="230">
        <v>52776.009999999995</v>
      </c>
      <c r="U312" s="230">
        <v>52775.990000000005</v>
      </c>
    </row>
    <row r="313" spans="1:21" x14ac:dyDescent="0.2">
      <c r="A313" s="227">
        <v>2019</v>
      </c>
      <c r="B313" s="227" t="s">
        <v>1476</v>
      </c>
      <c r="C313" s="228" t="s">
        <v>333</v>
      </c>
      <c r="D313" s="229"/>
      <c r="E313" s="229"/>
      <c r="F313" s="229" t="s">
        <v>333</v>
      </c>
      <c r="G313" s="228" t="s">
        <v>1444</v>
      </c>
      <c r="H313" s="230">
        <v>0</v>
      </c>
      <c r="I313" s="230">
        <v>0</v>
      </c>
      <c r="J313" s="231"/>
      <c r="K313" s="230">
        <v>0</v>
      </c>
      <c r="L313" s="230">
        <v>0</v>
      </c>
      <c r="M313" s="230">
        <v>0</v>
      </c>
      <c r="N313" s="231"/>
      <c r="O313" s="230">
        <v>0</v>
      </c>
      <c r="P313" s="230">
        <v>0</v>
      </c>
      <c r="Q313" s="230">
        <v>0</v>
      </c>
      <c r="R313" s="231"/>
      <c r="S313" s="230">
        <v>0</v>
      </c>
      <c r="T313" s="230">
        <v>0</v>
      </c>
      <c r="U313" s="230">
        <v>0</v>
      </c>
    </row>
    <row r="314" spans="1:21" x14ac:dyDescent="0.2">
      <c r="A314" s="227">
        <v>2019</v>
      </c>
      <c r="B314" s="227" t="s">
        <v>1479</v>
      </c>
      <c r="C314" s="228" t="s">
        <v>334</v>
      </c>
      <c r="D314" s="229"/>
      <c r="E314" s="229"/>
      <c r="F314" s="229" t="s">
        <v>334</v>
      </c>
      <c r="G314" s="228" t="s">
        <v>1445</v>
      </c>
      <c r="H314" s="230">
        <v>3</v>
      </c>
      <c r="I314" s="230">
        <v>10</v>
      </c>
      <c r="J314" s="231"/>
      <c r="K314" s="230">
        <v>135231</v>
      </c>
      <c r="L314" s="230">
        <v>31207.15</v>
      </c>
      <c r="M314" s="230">
        <v>104023.85</v>
      </c>
      <c r="N314" s="231"/>
      <c r="O314" s="230">
        <v>45787</v>
      </c>
      <c r="P314" s="230">
        <v>10566.23</v>
      </c>
      <c r="Q314" s="230">
        <v>35220.770000000004</v>
      </c>
      <c r="R314" s="231"/>
      <c r="S314" s="230">
        <v>181018</v>
      </c>
      <c r="T314" s="230">
        <v>41773.380000000005</v>
      </c>
      <c r="U314" s="230">
        <v>139244.62</v>
      </c>
    </row>
    <row r="315" spans="1:21" x14ac:dyDescent="0.2">
      <c r="A315" s="227">
        <v>2019</v>
      </c>
      <c r="B315" s="227" t="s">
        <v>1470</v>
      </c>
      <c r="C315" s="228" t="s">
        <v>303</v>
      </c>
      <c r="D315" s="229"/>
      <c r="E315" s="229"/>
      <c r="F315" s="229" t="s">
        <v>303</v>
      </c>
      <c r="G315" s="228" t="s">
        <v>1446</v>
      </c>
      <c r="H315" s="230">
        <v>0</v>
      </c>
      <c r="I315" s="230">
        <v>5</v>
      </c>
      <c r="J315" s="231"/>
      <c r="K315" s="230">
        <v>185132.25</v>
      </c>
      <c r="L315" s="230">
        <v>0</v>
      </c>
      <c r="M315" s="230">
        <v>185132.25</v>
      </c>
      <c r="N315" s="231"/>
      <c r="O315" s="230">
        <v>67345.75</v>
      </c>
      <c r="P315" s="230">
        <v>0</v>
      </c>
      <c r="Q315" s="230">
        <v>67345.75</v>
      </c>
      <c r="R315" s="231"/>
      <c r="S315" s="230">
        <v>252478</v>
      </c>
      <c r="T315" s="230">
        <v>0</v>
      </c>
      <c r="U315" s="230">
        <v>252478</v>
      </c>
    </row>
    <row r="316" spans="1:21" x14ac:dyDescent="0.2">
      <c r="A316" s="227">
        <v>2019</v>
      </c>
      <c r="B316" s="227" t="s">
        <v>1479</v>
      </c>
      <c r="C316" s="228" t="s">
        <v>335</v>
      </c>
      <c r="D316" s="229"/>
      <c r="E316" s="229"/>
      <c r="F316" s="229" t="s">
        <v>335</v>
      </c>
      <c r="G316" s="228" t="s">
        <v>1447</v>
      </c>
      <c r="H316" s="230">
        <v>0</v>
      </c>
      <c r="I316" s="230">
        <v>5</v>
      </c>
      <c r="J316" s="231"/>
      <c r="K316" s="230">
        <v>337752</v>
      </c>
      <c r="L316" s="230">
        <v>0</v>
      </c>
      <c r="M316" s="230">
        <v>337752</v>
      </c>
      <c r="N316" s="231"/>
      <c r="O316" s="230">
        <v>122926</v>
      </c>
      <c r="P316" s="230">
        <v>0</v>
      </c>
      <c r="Q316" s="230">
        <v>122926</v>
      </c>
      <c r="R316" s="231"/>
      <c r="S316" s="230">
        <v>460678</v>
      </c>
      <c r="T316" s="230">
        <v>0</v>
      </c>
      <c r="U316" s="230">
        <v>460678</v>
      </c>
    </row>
    <row r="317" spans="1:21" x14ac:dyDescent="0.2">
      <c r="A317" s="227">
        <v>2019</v>
      </c>
      <c r="B317" s="227" t="s">
        <v>1470</v>
      </c>
      <c r="C317" s="228" t="s">
        <v>336</v>
      </c>
      <c r="D317" s="229"/>
      <c r="E317" s="229"/>
      <c r="F317" s="229" t="s">
        <v>336</v>
      </c>
      <c r="G317" s="228" t="s">
        <v>1448</v>
      </c>
      <c r="H317" s="230">
        <v>0</v>
      </c>
      <c r="I317" s="230">
        <v>0</v>
      </c>
      <c r="J317" s="231"/>
      <c r="K317" s="230">
        <v>0</v>
      </c>
      <c r="L317" s="230">
        <v>0</v>
      </c>
      <c r="M317" s="230">
        <v>0</v>
      </c>
      <c r="N317" s="231"/>
      <c r="O317" s="230">
        <v>0</v>
      </c>
      <c r="P317" s="230">
        <v>0</v>
      </c>
      <c r="Q317" s="230">
        <v>0</v>
      </c>
      <c r="R317" s="231"/>
      <c r="S317" s="230">
        <v>0</v>
      </c>
      <c r="T317" s="230">
        <v>0</v>
      </c>
      <c r="U317" s="230">
        <v>0</v>
      </c>
    </row>
    <row r="318" spans="1:21" x14ac:dyDescent="0.2">
      <c r="A318" s="227">
        <v>2019</v>
      </c>
      <c r="B318" s="227" t="s">
        <v>1471</v>
      </c>
      <c r="C318" s="228" t="s">
        <v>278</v>
      </c>
      <c r="D318" s="229"/>
      <c r="E318" s="229"/>
      <c r="F318" s="229" t="s">
        <v>278</v>
      </c>
      <c r="G318" s="228" t="s">
        <v>1449</v>
      </c>
      <c r="H318" s="230">
        <v>0</v>
      </c>
      <c r="I318" s="230">
        <v>1</v>
      </c>
      <c r="J318" s="231"/>
      <c r="K318" s="230">
        <v>33180.75</v>
      </c>
      <c r="L318" s="230">
        <v>0</v>
      </c>
      <c r="M318" s="230">
        <v>33180.75</v>
      </c>
      <c r="N318" s="231"/>
      <c r="O318" s="230">
        <v>12641.25</v>
      </c>
      <c r="P318" s="230">
        <v>0</v>
      </c>
      <c r="Q318" s="230">
        <v>12641.25</v>
      </c>
      <c r="R318" s="231"/>
      <c r="S318" s="230">
        <v>45822</v>
      </c>
      <c r="T318" s="230">
        <v>0</v>
      </c>
      <c r="U318" s="230">
        <v>45822</v>
      </c>
    </row>
    <row r="319" spans="1:21" x14ac:dyDescent="0.2">
      <c r="A319" s="227">
        <v>2019</v>
      </c>
      <c r="B319" s="227" t="s">
        <v>1471</v>
      </c>
      <c r="C319" s="228" t="s">
        <v>58</v>
      </c>
      <c r="D319" s="229"/>
      <c r="E319" s="229"/>
      <c r="F319" s="229" t="s">
        <v>58</v>
      </c>
      <c r="G319" s="228" t="s">
        <v>1450</v>
      </c>
      <c r="H319" s="230">
        <v>0</v>
      </c>
      <c r="I319" s="230">
        <v>10</v>
      </c>
      <c r="J319" s="231"/>
      <c r="K319" s="230">
        <v>236193.75</v>
      </c>
      <c r="L319" s="230">
        <v>0</v>
      </c>
      <c r="M319" s="230">
        <v>236193.75</v>
      </c>
      <c r="N319" s="231"/>
      <c r="O319" s="230">
        <v>86176.25</v>
      </c>
      <c r="P319" s="230">
        <v>0</v>
      </c>
      <c r="Q319" s="230">
        <v>86176.25</v>
      </c>
      <c r="R319" s="231"/>
      <c r="S319" s="230">
        <v>322370</v>
      </c>
      <c r="T319" s="230">
        <v>0</v>
      </c>
      <c r="U319" s="230">
        <v>322370</v>
      </c>
    </row>
    <row r="320" spans="1:21" x14ac:dyDescent="0.2">
      <c r="A320" s="227">
        <v>2019</v>
      </c>
      <c r="B320" s="227" t="s">
        <v>1472</v>
      </c>
      <c r="C320" s="228" t="s">
        <v>338</v>
      </c>
      <c r="D320" s="229"/>
      <c r="E320" s="229"/>
      <c r="F320" s="229" t="s">
        <v>338</v>
      </c>
      <c r="G320" s="228" t="s">
        <v>1451</v>
      </c>
      <c r="H320" s="230">
        <v>0</v>
      </c>
      <c r="I320" s="230">
        <v>2</v>
      </c>
      <c r="J320" s="231"/>
      <c r="K320" s="230">
        <v>19017.75</v>
      </c>
      <c r="L320" s="230">
        <v>0</v>
      </c>
      <c r="M320" s="230">
        <v>19017.75</v>
      </c>
      <c r="N320" s="231"/>
      <c r="O320" s="230">
        <v>6445.25</v>
      </c>
      <c r="P320" s="230">
        <v>0</v>
      </c>
      <c r="Q320" s="230">
        <v>6445.25</v>
      </c>
      <c r="R320" s="231"/>
      <c r="S320" s="230">
        <v>25463</v>
      </c>
      <c r="T320" s="230">
        <v>0</v>
      </c>
      <c r="U320" s="230">
        <v>25463</v>
      </c>
    </row>
    <row r="321" spans="1:21" x14ac:dyDescent="0.2">
      <c r="A321" s="227">
        <v>2019</v>
      </c>
      <c r="B321" s="227" t="s">
        <v>1480</v>
      </c>
      <c r="C321" s="228" t="s">
        <v>339</v>
      </c>
      <c r="D321" s="229"/>
      <c r="E321" s="229"/>
      <c r="F321" s="229" t="s">
        <v>339</v>
      </c>
      <c r="G321" s="228" t="s">
        <v>1452</v>
      </c>
      <c r="H321" s="230">
        <v>5</v>
      </c>
      <c r="I321" s="230">
        <v>9</v>
      </c>
      <c r="J321" s="231"/>
      <c r="K321" s="230">
        <v>580899.75</v>
      </c>
      <c r="L321" s="230">
        <v>207464.2</v>
      </c>
      <c r="M321" s="230">
        <v>373435.55</v>
      </c>
      <c r="N321" s="231"/>
      <c r="O321" s="230">
        <v>225089.25</v>
      </c>
      <c r="P321" s="230">
        <v>80389.02</v>
      </c>
      <c r="Q321" s="230">
        <v>144700.22999999998</v>
      </c>
      <c r="R321" s="231"/>
      <c r="S321" s="230">
        <v>805989</v>
      </c>
      <c r="T321" s="230">
        <v>287853.22000000003</v>
      </c>
      <c r="U321" s="230">
        <v>518135.77999999997</v>
      </c>
    </row>
    <row r="322" spans="1:21" x14ac:dyDescent="0.2">
      <c r="A322" s="227">
        <v>2019</v>
      </c>
      <c r="B322" s="227" t="s">
        <v>1474</v>
      </c>
      <c r="C322" s="228" t="s">
        <v>340</v>
      </c>
      <c r="D322" s="229"/>
      <c r="E322" s="229"/>
      <c r="F322" s="229" t="s">
        <v>340</v>
      </c>
      <c r="G322" s="228" t="s">
        <v>1453</v>
      </c>
      <c r="H322" s="230">
        <v>0</v>
      </c>
      <c r="I322" s="230">
        <v>9</v>
      </c>
      <c r="J322" s="231"/>
      <c r="K322" s="230">
        <v>334328.25</v>
      </c>
      <c r="L322" s="230">
        <v>0</v>
      </c>
      <c r="M322" s="230">
        <v>334328.25</v>
      </c>
      <c r="N322" s="231"/>
      <c r="O322" s="230">
        <v>133334.75</v>
      </c>
      <c r="P322" s="230">
        <v>0</v>
      </c>
      <c r="Q322" s="230">
        <v>133334.75</v>
      </c>
      <c r="R322" s="231"/>
      <c r="S322" s="230">
        <v>467663</v>
      </c>
      <c r="T322" s="230">
        <v>0</v>
      </c>
      <c r="U322" s="230">
        <v>467663</v>
      </c>
    </row>
    <row r="323" spans="1:21" x14ac:dyDescent="0.2">
      <c r="A323" s="227">
        <v>2019</v>
      </c>
      <c r="B323" s="227" t="s">
        <v>1471</v>
      </c>
      <c r="C323" s="228" t="s">
        <v>341</v>
      </c>
      <c r="D323" s="229"/>
      <c r="E323" s="229"/>
      <c r="F323" s="229" t="s">
        <v>341</v>
      </c>
      <c r="G323" s="228" t="s">
        <v>1454</v>
      </c>
      <c r="H323" s="230">
        <v>0</v>
      </c>
      <c r="I323" s="230">
        <v>8</v>
      </c>
      <c r="J323" s="231"/>
      <c r="K323" s="230">
        <v>285729.75</v>
      </c>
      <c r="L323" s="230">
        <v>0</v>
      </c>
      <c r="M323" s="230">
        <v>285729.75</v>
      </c>
      <c r="N323" s="231"/>
      <c r="O323" s="230">
        <v>103654.25</v>
      </c>
      <c r="P323" s="230">
        <v>0</v>
      </c>
      <c r="Q323" s="230">
        <v>103654.25</v>
      </c>
      <c r="R323" s="231"/>
      <c r="S323" s="230">
        <v>389384</v>
      </c>
      <c r="T323" s="230">
        <v>0</v>
      </c>
      <c r="U323" s="230">
        <v>389384</v>
      </c>
    </row>
    <row r="324" spans="1:21" x14ac:dyDescent="0.2">
      <c r="A324" s="227">
        <v>2019</v>
      </c>
      <c r="B324" s="227" t="s">
        <v>1474</v>
      </c>
      <c r="C324" s="228" t="s">
        <v>342</v>
      </c>
      <c r="D324" s="229"/>
      <c r="E324" s="229"/>
      <c r="F324" s="229" t="s">
        <v>342</v>
      </c>
      <c r="G324" s="228" t="s">
        <v>1455</v>
      </c>
      <c r="H324" s="230">
        <v>2</v>
      </c>
      <c r="I324" s="230">
        <v>4</v>
      </c>
      <c r="J324" s="231"/>
      <c r="K324" s="230">
        <v>144936</v>
      </c>
      <c r="L324" s="230">
        <v>48312</v>
      </c>
      <c r="M324" s="230">
        <v>96624</v>
      </c>
      <c r="N324" s="231"/>
      <c r="O324" s="230">
        <v>53976</v>
      </c>
      <c r="P324" s="230">
        <v>17992</v>
      </c>
      <c r="Q324" s="230">
        <v>35984</v>
      </c>
      <c r="R324" s="231"/>
      <c r="S324" s="230">
        <v>198912</v>
      </c>
      <c r="T324" s="230">
        <v>66304</v>
      </c>
      <c r="U324" s="230">
        <v>132608</v>
      </c>
    </row>
    <row r="325" spans="1:21" x14ac:dyDescent="0.2">
      <c r="A325" s="227">
        <v>2019</v>
      </c>
      <c r="B325" s="227" t="s">
        <v>1474</v>
      </c>
      <c r="C325" s="228" t="s">
        <v>343</v>
      </c>
      <c r="D325" s="229"/>
      <c r="E325" s="229"/>
      <c r="F325" s="229" t="s">
        <v>343</v>
      </c>
      <c r="G325" s="228" t="s">
        <v>1456</v>
      </c>
      <c r="H325" s="230">
        <v>0</v>
      </c>
      <c r="I325" s="230">
        <v>9</v>
      </c>
      <c r="J325" s="231"/>
      <c r="K325" s="230">
        <v>215302.5</v>
      </c>
      <c r="L325" s="230">
        <v>0</v>
      </c>
      <c r="M325" s="230">
        <v>215302.5</v>
      </c>
      <c r="N325" s="231"/>
      <c r="O325" s="230">
        <v>77770.5</v>
      </c>
      <c r="P325" s="230">
        <v>0</v>
      </c>
      <c r="Q325" s="230">
        <v>77770.5</v>
      </c>
      <c r="R325" s="231"/>
      <c r="S325" s="230">
        <v>293073</v>
      </c>
      <c r="T325" s="230">
        <v>0</v>
      </c>
      <c r="U325" s="230">
        <v>293073</v>
      </c>
    </row>
    <row r="326" spans="1:21" x14ac:dyDescent="0.2">
      <c r="A326" s="227">
        <v>2019</v>
      </c>
      <c r="B326" s="227" t="s">
        <v>1479</v>
      </c>
      <c r="C326" s="228" t="s">
        <v>337</v>
      </c>
      <c r="D326" s="229"/>
      <c r="E326" s="229"/>
      <c r="F326" s="229" t="s">
        <v>337</v>
      </c>
      <c r="G326" s="228" t="s">
        <v>1457</v>
      </c>
      <c r="H326" s="230">
        <v>0</v>
      </c>
      <c r="I326" s="230">
        <v>6</v>
      </c>
      <c r="J326" s="231"/>
      <c r="K326" s="230">
        <v>1102496.25</v>
      </c>
      <c r="L326" s="230">
        <v>0</v>
      </c>
      <c r="M326" s="230">
        <v>1102496.25</v>
      </c>
      <c r="N326" s="231"/>
      <c r="O326" s="230">
        <v>426037.75</v>
      </c>
      <c r="P326" s="230">
        <v>0</v>
      </c>
      <c r="Q326" s="230">
        <v>426037.75</v>
      </c>
      <c r="R326" s="231"/>
      <c r="S326" s="230">
        <v>1528534</v>
      </c>
      <c r="T326" s="230">
        <v>0</v>
      </c>
      <c r="U326" s="230">
        <v>1528534</v>
      </c>
    </row>
    <row r="327" spans="1:21" x14ac:dyDescent="0.2">
      <c r="A327" s="227">
        <v>2019</v>
      </c>
      <c r="B327" s="227" t="s">
        <v>1474</v>
      </c>
      <c r="C327" s="228" t="s">
        <v>344</v>
      </c>
      <c r="D327" s="229"/>
      <c r="E327" s="229"/>
      <c r="F327" s="229" t="s">
        <v>344</v>
      </c>
      <c r="G327" s="228" t="s">
        <v>1458</v>
      </c>
      <c r="H327" s="230">
        <v>1</v>
      </c>
      <c r="I327" s="230">
        <v>6</v>
      </c>
      <c r="J327" s="231"/>
      <c r="K327" s="230">
        <v>148539.75</v>
      </c>
      <c r="L327" s="230">
        <v>21219.96</v>
      </c>
      <c r="M327" s="230">
        <v>127319.79000000001</v>
      </c>
      <c r="N327" s="231"/>
      <c r="O327" s="230">
        <v>65945.25</v>
      </c>
      <c r="P327" s="230">
        <v>9420.75</v>
      </c>
      <c r="Q327" s="230">
        <v>56524.5</v>
      </c>
      <c r="R327" s="231"/>
      <c r="S327" s="230">
        <v>214485</v>
      </c>
      <c r="T327" s="230">
        <v>30640.71</v>
      </c>
      <c r="U327" s="230">
        <v>183844.29</v>
      </c>
    </row>
    <row r="328" spans="1:21" x14ac:dyDescent="0.2">
      <c r="A328" s="227">
        <v>2019</v>
      </c>
      <c r="B328" s="227" t="s">
        <v>1474</v>
      </c>
      <c r="C328" s="228" t="s">
        <v>345</v>
      </c>
      <c r="D328" s="229"/>
      <c r="E328" s="229"/>
      <c r="F328" s="229" t="s">
        <v>345</v>
      </c>
      <c r="G328" s="228" t="s">
        <v>1459</v>
      </c>
      <c r="H328" s="230">
        <v>0</v>
      </c>
      <c r="I328" s="230">
        <v>5</v>
      </c>
      <c r="J328" s="231"/>
      <c r="K328" s="230">
        <v>32036.25</v>
      </c>
      <c r="L328" s="230">
        <v>0</v>
      </c>
      <c r="M328" s="230">
        <v>32036.25</v>
      </c>
      <c r="N328" s="231"/>
      <c r="O328" s="230">
        <v>13146.75</v>
      </c>
      <c r="P328" s="230">
        <v>0</v>
      </c>
      <c r="Q328" s="230">
        <v>13146.75</v>
      </c>
      <c r="R328" s="231"/>
      <c r="S328" s="230">
        <v>45183</v>
      </c>
      <c r="T328" s="230">
        <v>0</v>
      </c>
      <c r="U328" s="230">
        <v>45183</v>
      </c>
    </row>
    <row r="329" spans="1:21" x14ac:dyDescent="0.2">
      <c r="A329" s="227">
        <v>2019</v>
      </c>
      <c r="B329" s="227" t="s">
        <v>1477</v>
      </c>
      <c r="C329" s="228" t="s">
        <v>346</v>
      </c>
      <c r="D329" s="229"/>
      <c r="E329" s="229"/>
      <c r="F329" s="229" t="s">
        <v>346</v>
      </c>
      <c r="G329" s="228" t="s">
        <v>1460</v>
      </c>
      <c r="H329" s="230">
        <v>0</v>
      </c>
      <c r="I329" s="230">
        <v>7</v>
      </c>
      <c r="J329" s="231"/>
      <c r="K329" s="230">
        <v>390366.75</v>
      </c>
      <c r="L329" s="230">
        <v>0</v>
      </c>
      <c r="M329" s="230">
        <v>390366.75</v>
      </c>
      <c r="N329" s="231"/>
      <c r="O329" s="230">
        <v>146165.25</v>
      </c>
      <c r="P329" s="230">
        <v>0</v>
      </c>
      <c r="Q329" s="230">
        <v>146165.25</v>
      </c>
      <c r="R329" s="231"/>
      <c r="S329" s="230">
        <v>536532</v>
      </c>
      <c r="T329" s="230">
        <v>0</v>
      </c>
      <c r="U329" s="230">
        <v>536532</v>
      </c>
    </row>
    <row r="330" spans="1:21" x14ac:dyDescent="0.2">
      <c r="A330" s="227">
        <v>2019</v>
      </c>
      <c r="B330" s="227" t="s">
        <v>1480</v>
      </c>
      <c r="C330" s="228" t="s">
        <v>347</v>
      </c>
      <c r="D330" s="229"/>
      <c r="E330" s="229"/>
      <c r="F330" s="229" t="s">
        <v>347</v>
      </c>
      <c r="G330" s="228" t="s">
        <v>1461</v>
      </c>
      <c r="H330" s="230">
        <v>0</v>
      </c>
      <c r="I330" s="230">
        <v>4</v>
      </c>
      <c r="J330" s="231"/>
      <c r="K330" s="230">
        <v>138116.25</v>
      </c>
      <c r="L330" s="230">
        <v>0</v>
      </c>
      <c r="M330" s="230">
        <v>138116.25</v>
      </c>
      <c r="N330" s="231"/>
      <c r="O330" s="230">
        <v>50226.75</v>
      </c>
      <c r="P330" s="230">
        <v>0</v>
      </c>
      <c r="Q330" s="230">
        <v>50226.75</v>
      </c>
      <c r="R330" s="231"/>
      <c r="S330" s="230">
        <v>188343</v>
      </c>
      <c r="T330" s="230">
        <v>0</v>
      </c>
      <c r="U330" s="230">
        <v>188343</v>
      </c>
    </row>
    <row r="331" spans="1:21" x14ac:dyDescent="0.2">
      <c r="A331" s="227">
        <v>2019</v>
      </c>
      <c r="B331" s="227" t="s">
        <v>1476</v>
      </c>
      <c r="C331" s="228" t="s">
        <v>348</v>
      </c>
      <c r="D331" s="229"/>
      <c r="E331" s="229"/>
      <c r="F331" s="229" t="s">
        <v>348</v>
      </c>
      <c r="G331" s="228" t="s">
        <v>1462</v>
      </c>
      <c r="H331" s="230">
        <v>0</v>
      </c>
      <c r="I331" s="230">
        <v>7</v>
      </c>
      <c r="J331" s="231"/>
      <c r="K331" s="230">
        <v>75821.25</v>
      </c>
      <c r="L331" s="230">
        <v>0</v>
      </c>
      <c r="M331" s="230">
        <v>75821.25</v>
      </c>
      <c r="N331" s="231"/>
      <c r="O331" s="230">
        <v>28004.75</v>
      </c>
      <c r="P331" s="230">
        <v>0</v>
      </c>
      <c r="Q331" s="230">
        <v>28004.75</v>
      </c>
      <c r="R331" s="231"/>
      <c r="S331" s="230">
        <v>103826</v>
      </c>
      <c r="T331" s="230">
        <v>0</v>
      </c>
      <c r="U331" s="230">
        <v>103826</v>
      </c>
    </row>
    <row r="332" spans="1:21" x14ac:dyDescent="0.2">
      <c r="A332" s="227">
        <v>2019</v>
      </c>
      <c r="B332" s="227" t="s">
        <v>1470</v>
      </c>
      <c r="C332" s="228" t="s">
        <v>349</v>
      </c>
      <c r="D332" s="229"/>
      <c r="E332" s="229"/>
      <c r="F332" s="229" t="s">
        <v>349</v>
      </c>
      <c r="G332" s="228" t="s">
        <v>1463</v>
      </c>
      <c r="H332" s="230">
        <v>0</v>
      </c>
      <c r="I332" s="230">
        <v>4</v>
      </c>
      <c r="J332" s="231"/>
      <c r="K332" s="230">
        <v>305403.75</v>
      </c>
      <c r="L332" s="230">
        <v>0</v>
      </c>
      <c r="M332" s="230">
        <v>305403.75</v>
      </c>
      <c r="N332" s="231"/>
      <c r="O332" s="230">
        <v>118111.25</v>
      </c>
      <c r="P332" s="230">
        <v>0</v>
      </c>
      <c r="Q332" s="230">
        <v>118111.25</v>
      </c>
      <c r="R332" s="231"/>
      <c r="S332" s="230">
        <v>423515</v>
      </c>
      <c r="T332" s="230">
        <v>0</v>
      </c>
      <c r="U332" s="230">
        <v>423515</v>
      </c>
    </row>
    <row r="333" spans="1:21" x14ac:dyDescent="0.2">
      <c r="A333" s="227">
        <v>2019</v>
      </c>
      <c r="B333" s="227" t="s">
        <v>1472</v>
      </c>
      <c r="C333" s="228" t="s">
        <v>350</v>
      </c>
      <c r="D333" s="229"/>
      <c r="E333" s="229"/>
      <c r="F333" s="229" t="s">
        <v>350</v>
      </c>
      <c r="G333" s="228" t="s">
        <v>1464</v>
      </c>
      <c r="H333" s="230">
        <v>5</v>
      </c>
      <c r="I333" s="230">
        <v>9</v>
      </c>
      <c r="J333" s="231"/>
      <c r="K333" s="230">
        <v>192528</v>
      </c>
      <c r="L333" s="230">
        <v>68760</v>
      </c>
      <c r="M333" s="230">
        <v>123768</v>
      </c>
      <c r="N333" s="231"/>
      <c r="O333" s="230">
        <v>53522</v>
      </c>
      <c r="P333" s="230">
        <v>19115</v>
      </c>
      <c r="Q333" s="230">
        <v>34407</v>
      </c>
      <c r="R333" s="231"/>
      <c r="S333" s="230">
        <v>246050</v>
      </c>
      <c r="T333" s="230">
        <v>87875</v>
      </c>
      <c r="U333" s="230">
        <v>158175</v>
      </c>
    </row>
    <row r="334" spans="1:21" x14ac:dyDescent="0.2">
      <c r="A334" s="227">
        <v>2019</v>
      </c>
      <c r="B334" s="227" t="s">
        <v>1474</v>
      </c>
      <c r="C334" s="228" t="s">
        <v>351</v>
      </c>
      <c r="D334" s="229"/>
      <c r="E334" s="229"/>
      <c r="F334" s="229" t="s">
        <v>351</v>
      </c>
      <c r="G334" s="228" t="s">
        <v>1465</v>
      </c>
      <c r="H334" s="230">
        <v>0</v>
      </c>
      <c r="I334" s="230">
        <v>3</v>
      </c>
      <c r="J334" s="231"/>
      <c r="K334" s="230">
        <v>74250</v>
      </c>
      <c r="L334" s="230">
        <v>0</v>
      </c>
      <c r="M334" s="230">
        <v>74250</v>
      </c>
      <c r="N334" s="231"/>
      <c r="O334" s="230">
        <v>28858</v>
      </c>
      <c r="P334" s="230">
        <v>0</v>
      </c>
      <c r="Q334" s="230">
        <v>28858</v>
      </c>
      <c r="R334" s="231"/>
      <c r="S334" s="230">
        <v>103108</v>
      </c>
      <c r="T334" s="230">
        <v>0</v>
      </c>
      <c r="U334" s="230">
        <v>103108</v>
      </c>
    </row>
    <row r="335" spans="1:21" x14ac:dyDescent="0.2">
      <c r="A335" s="227">
        <v>2019</v>
      </c>
      <c r="B335" s="227" t="s">
        <v>1470</v>
      </c>
      <c r="C335" s="228" t="s">
        <v>352</v>
      </c>
      <c r="D335" s="229"/>
      <c r="E335" s="229"/>
      <c r="F335" s="229" t="s">
        <v>352</v>
      </c>
      <c r="G335" s="228" t="s">
        <v>1466</v>
      </c>
      <c r="H335" s="230">
        <v>0</v>
      </c>
      <c r="I335" s="230">
        <v>7</v>
      </c>
      <c r="J335" s="231"/>
      <c r="K335" s="230">
        <v>347800.5</v>
      </c>
      <c r="L335" s="230">
        <v>0</v>
      </c>
      <c r="M335" s="230">
        <v>347800.5</v>
      </c>
      <c r="N335" s="231"/>
      <c r="O335" s="230">
        <v>124857.5</v>
      </c>
      <c r="P335" s="230">
        <v>0</v>
      </c>
      <c r="Q335" s="230">
        <v>124857.5</v>
      </c>
      <c r="R335" s="231"/>
      <c r="S335" s="230">
        <v>472658</v>
      </c>
      <c r="T335" s="230">
        <v>0</v>
      </c>
      <c r="U335" s="230">
        <v>472658</v>
      </c>
    </row>
    <row r="336" spans="1:21" ht="15.75" thickBot="1" x14ac:dyDescent="0.3">
      <c r="C336" s="234" t="s">
        <v>798</v>
      </c>
      <c r="K336" s="233">
        <v>77418821.25</v>
      </c>
      <c r="L336" s="233">
        <v>7759451.3600000003</v>
      </c>
      <c r="M336" s="233">
        <v>69659369.890000001</v>
      </c>
      <c r="O336" s="233">
        <v>29340997.5</v>
      </c>
      <c r="P336" s="233">
        <v>2890984.7599999993</v>
      </c>
      <c r="Q336" s="233">
        <v>26373122.990000017</v>
      </c>
      <c r="S336" s="233">
        <v>106682929</v>
      </c>
      <c r="T336" s="233">
        <v>10650436.119999997</v>
      </c>
      <c r="U336" s="233">
        <v>96032492.87999998</v>
      </c>
    </row>
    <row r="337" spans="1:21" ht="12" thickTop="1" x14ac:dyDescent="0.2">
      <c r="A337" s="48"/>
      <c r="B337" s="48"/>
      <c r="D337" s="48"/>
      <c r="E337" s="48"/>
      <c r="F337" s="48"/>
    </row>
    <row r="338" spans="1:21" ht="15.75" hidden="1" thickBot="1" x14ac:dyDescent="0.3">
      <c r="A338" s="48"/>
      <c r="B338" s="48"/>
      <c r="D338" s="48"/>
      <c r="E338" s="48"/>
      <c r="F338" s="48"/>
      <c r="O338" s="232"/>
      <c r="S338" s="233">
        <f>SUM(S195:S335,S6:S193,'[1]Feb100%_MainframeOutput'!B197/1000)</f>
        <v>106682929</v>
      </c>
    </row>
    <row r="340" spans="1:21" hidden="1" x14ac:dyDescent="0.2">
      <c r="A340" s="48"/>
      <c r="B340" s="48"/>
      <c r="D340" s="48"/>
      <c r="E340" s="48"/>
      <c r="F340" s="48"/>
      <c r="S340" s="232">
        <f>K336+O336</f>
        <v>106759818.75</v>
      </c>
    </row>
    <row r="341" spans="1:21" hidden="1" x14ac:dyDescent="0.2">
      <c r="A341" s="48"/>
      <c r="B341" s="48"/>
      <c r="D341" s="48"/>
      <c r="E341" s="48"/>
      <c r="F341" s="48"/>
      <c r="S341" s="232">
        <f>S336-S340</f>
        <v>-76889.75</v>
      </c>
    </row>
    <row r="342" spans="1:21" hidden="1" x14ac:dyDescent="0.2">
      <c r="A342" s="48"/>
      <c r="B342" s="48"/>
      <c r="D342" s="48"/>
      <c r="E342" s="48"/>
      <c r="F342" s="48"/>
      <c r="S342" s="232">
        <f>O194</f>
        <v>-76889.75</v>
      </c>
    </row>
    <row r="344" spans="1:21" x14ac:dyDescent="0.2">
      <c r="A344" s="209">
        <v>1</v>
      </c>
      <c r="B344" s="209">
        <v>2</v>
      </c>
      <c r="C344" s="209">
        <v>3</v>
      </c>
      <c r="D344" s="209">
        <v>4</v>
      </c>
      <c r="E344" s="209">
        <v>5</v>
      </c>
      <c r="F344" s="209">
        <v>6</v>
      </c>
      <c r="G344" s="209">
        <v>7</v>
      </c>
      <c r="H344" s="209">
        <v>8</v>
      </c>
      <c r="I344" s="209">
        <v>9</v>
      </c>
      <c r="J344" s="209">
        <v>10</v>
      </c>
      <c r="K344" s="209">
        <v>11</v>
      </c>
      <c r="L344" s="209">
        <v>12</v>
      </c>
      <c r="M344" s="209">
        <v>13</v>
      </c>
      <c r="N344" s="209">
        <v>14</v>
      </c>
      <c r="O344" s="209">
        <v>15</v>
      </c>
      <c r="P344" s="209">
        <v>16</v>
      </c>
      <c r="Q344" s="209">
        <v>17</v>
      </c>
      <c r="R344" s="209">
        <v>18</v>
      </c>
      <c r="S344" s="209">
        <v>19</v>
      </c>
      <c r="T344" s="209">
        <v>20</v>
      </c>
      <c r="U344" s="209">
        <v>21</v>
      </c>
    </row>
  </sheetData>
  <mergeCells count="5">
    <mergeCell ref="K4:M4"/>
    <mergeCell ref="O4:Q4"/>
    <mergeCell ref="G1:U1"/>
    <mergeCell ref="G2:U2"/>
    <mergeCell ref="S4:U4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32"/>
  <sheetViews>
    <sheetView topLeftCell="W289" workbookViewId="0">
      <selection activeCell="AN332" sqref="AN332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6" width="29.28515625" style="1" customWidth="1"/>
    <col min="7" max="7" width="38.140625" style="1" customWidth="1"/>
    <col min="8" max="8" width="34.28515625" style="1" customWidth="1"/>
    <col min="9" max="9" width="21.140625" style="1" customWidth="1"/>
    <col min="10" max="10" width="28.42578125" style="1" customWidth="1"/>
    <col min="11" max="11" width="25" style="1" customWidth="1"/>
    <col min="12" max="12" width="27" style="1" customWidth="1"/>
    <col min="13" max="13" width="33.140625" style="1" customWidth="1"/>
    <col min="14" max="14" width="28.5703125" style="1" customWidth="1"/>
    <col min="15" max="17" width="33.85546875" style="1" customWidth="1"/>
    <col min="18" max="20" width="31.85546875" style="1" customWidth="1"/>
    <col min="21" max="21" width="18.5703125" style="1" customWidth="1"/>
    <col min="22" max="22" width="16.5703125" style="1" customWidth="1"/>
    <col min="23" max="23" width="18" style="1" customWidth="1"/>
    <col min="24" max="24" width="18.140625" style="1" customWidth="1"/>
    <col min="25" max="25" width="16.7109375" style="1" customWidth="1"/>
    <col min="26" max="33" width="9.140625" style="1"/>
    <col min="34" max="34" width="21.5703125" style="1" customWidth="1"/>
    <col min="35" max="38" width="9.140625" style="1"/>
    <col min="39" max="39" width="15.5703125" style="1" bestFit="1" customWidth="1"/>
    <col min="40" max="40" width="31.42578125" style="1" customWidth="1"/>
    <col min="41" max="16384" width="9.140625" style="1"/>
  </cols>
  <sheetData>
    <row r="1" spans="1:40" x14ac:dyDescent="0.2">
      <c r="A1" s="1" t="s">
        <v>353</v>
      </c>
      <c r="B1" s="2" t="s">
        <v>808</v>
      </c>
      <c r="C1" s="2" t="s">
        <v>354</v>
      </c>
      <c r="D1" s="1" t="s">
        <v>355</v>
      </c>
      <c r="E1" s="1" t="s">
        <v>356</v>
      </c>
      <c r="F1" s="1" t="s">
        <v>357</v>
      </c>
      <c r="G1" s="1" t="s">
        <v>358</v>
      </c>
      <c r="H1" s="1" t="s">
        <v>359</v>
      </c>
      <c r="I1" s="1" t="s">
        <v>368</v>
      </c>
      <c r="J1" s="1" t="s">
        <v>369</v>
      </c>
      <c r="K1" s="1" t="s">
        <v>370</v>
      </c>
      <c r="L1" s="1" t="s">
        <v>361</v>
      </c>
      <c r="M1" s="1" t="s">
        <v>712</v>
      </c>
      <c r="N1" s="1" t="s">
        <v>362</v>
      </c>
      <c r="O1" s="1" t="s">
        <v>363</v>
      </c>
      <c r="P1" s="1" t="s">
        <v>364</v>
      </c>
      <c r="Q1" s="1" t="s">
        <v>365</v>
      </c>
      <c r="R1" s="1" t="s">
        <v>366</v>
      </c>
      <c r="S1" s="1" t="s">
        <v>367</v>
      </c>
      <c r="T1" s="1" t="s">
        <v>371</v>
      </c>
      <c r="U1" s="1" t="s">
        <v>372</v>
      </c>
      <c r="V1" s="1" t="s">
        <v>373</v>
      </c>
      <c r="W1" s="1" t="s">
        <v>374</v>
      </c>
      <c r="X1" s="1" t="s">
        <v>375</v>
      </c>
      <c r="Y1" s="1" t="s">
        <v>376</v>
      </c>
      <c r="Z1" s="5" t="s">
        <v>377</v>
      </c>
      <c r="AA1" s="5" t="s">
        <v>378</v>
      </c>
      <c r="AB1" s="5" t="s">
        <v>379</v>
      </c>
      <c r="AC1" s="5" t="s">
        <v>380</v>
      </c>
      <c r="AD1" s="5" t="s">
        <v>733</v>
      </c>
      <c r="AE1" s="5" t="s">
        <v>734</v>
      </c>
      <c r="AF1" s="5" t="s">
        <v>735</v>
      </c>
      <c r="AG1" s="5" t="s">
        <v>736</v>
      </c>
      <c r="AH1" s="5" t="s">
        <v>737</v>
      </c>
      <c r="AI1" s="5" t="s">
        <v>738</v>
      </c>
      <c r="AJ1" s="5" t="s">
        <v>739</v>
      </c>
      <c r="AK1" s="5" t="s">
        <v>740</v>
      </c>
      <c r="AL1" s="5" t="s">
        <v>741</v>
      </c>
      <c r="AM1" s="5" t="s">
        <v>742</v>
      </c>
      <c r="AN1" s="155" t="s">
        <v>801</v>
      </c>
    </row>
    <row r="2" spans="1:40" x14ac:dyDescent="0.2">
      <c r="A2" s="1">
        <v>2019</v>
      </c>
      <c r="B2" s="2" t="s">
        <v>20</v>
      </c>
      <c r="C2" s="2" t="s">
        <v>20</v>
      </c>
      <c r="D2" s="1" t="s">
        <v>0</v>
      </c>
      <c r="E2" s="3">
        <v>3000075</v>
      </c>
      <c r="F2" s="1">
        <v>630</v>
      </c>
      <c r="G2" s="3">
        <v>15644</v>
      </c>
      <c r="H2" s="1">
        <v>0</v>
      </c>
      <c r="I2" s="3">
        <v>2999445</v>
      </c>
      <c r="J2" s="3">
        <v>2983801</v>
      </c>
      <c r="K2" s="3">
        <v>2983801</v>
      </c>
      <c r="L2" s="3">
        <v>127354</v>
      </c>
      <c r="M2" s="3">
        <v>380653</v>
      </c>
      <c r="N2" s="3">
        <v>35943</v>
      </c>
      <c r="O2" s="3">
        <v>41066</v>
      </c>
      <c r="P2" s="3">
        <v>204487</v>
      </c>
      <c r="Q2" s="3">
        <v>2209942</v>
      </c>
      <c r="R2" s="3">
        <v>2194298</v>
      </c>
      <c r="S2" s="3">
        <v>2194298</v>
      </c>
      <c r="T2" s="3">
        <v>299945</v>
      </c>
      <c r="U2" s="3">
        <v>299945</v>
      </c>
      <c r="V2" s="3">
        <v>299945</v>
      </c>
      <c r="W2" s="3">
        <v>299945</v>
      </c>
      <c r="X2" s="3">
        <v>297337</v>
      </c>
      <c r="Y2" s="3">
        <v>297337</v>
      </c>
      <c r="Z2" s="4">
        <v>297337</v>
      </c>
      <c r="AA2" s="4">
        <v>297337</v>
      </c>
      <c r="AB2" s="4">
        <v>297337</v>
      </c>
      <c r="AC2" s="4">
        <v>297336</v>
      </c>
      <c r="AD2" s="4">
        <v>299945</v>
      </c>
      <c r="AE2" s="4">
        <v>599890</v>
      </c>
      <c r="AF2" s="4">
        <v>899835</v>
      </c>
      <c r="AG2" s="4">
        <v>1199780</v>
      </c>
      <c r="AH2" s="4">
        <v>1497117</v>
      </c>
      <c r="AI2" s="4">
        <v>1794454</v>
      </c>
      <c r="AJ2" s="4">
        <v>2091791</v>
      </c>
      <c r="AK2" s="4">
        <v>2389128</v>
      </c>
      <c r="AL2" s="4">
        <v>2686465</v>
      </c>
      <c r="AM2" s="4">
        <v>2983801</v>
      </c>
      <c r="AN2" s="154">
        <v>276403</v>
      </c>
    </row>
    <row r="3" spans="1:40" x14ac:dyDescent="0.2">
      <c r="A3" s="1">
        <v>2019</v>
      </c>
      <c r="B3" s="2" t="s">
        <v>21</v>
      </c>
      <c r="C3" s="2" t="s">
        <v>21</v>
      </c>
      <c r="D3" s="1" t="s">
        <v>381</v>
      </c>
      <c r="E3" s="3">
        <v>1457627</v>
      </c>
      <c r="F3" s="1">
        <v>166</v>
      </c>
      <c r="G3" s="3">
        <v>7501</v>
      </c>
      <c r="H3" s="3">
        <v>0</v>
      </c>
      <c r="I3" s="3">
        <v>1457461</v>
      </c>
      <c r="J3" s="3">
        <v>1449960</v>
      </c>
      <c r="K3" s="3">
        <v>1449960</v>
      </c>
      <c r="L3" s="3">
        <v>33514</v>
      </c>
      <c r="M3" s="3">
        <v>189976</v>
      </c>
      <c r="N3" s="3">
        <v>20919</v>
      </c>
      <c r="O3" s="3">
        <v>18937</v>
      </c>
      <c r="P3" s="3">
        <v>98048</v>
      </c>
      <c r="Q3" s="3">
        <v>1096067</v>
      </c>
      <c r="R3" s="3">
        <v>1088566</v>
      </c>
      <c r="S3" s="3">
        <v>1088566</v>
      </c>
      <c r="T3" s="3">
        <v>145746</v>
      </c>
      <c r="U3" s="3">
        <v>145746</v>
      </c>
      <c r="V3" s="3">
        <v>145746</v>
      </c>
      <c r="W3" s="3">
        <v>145746</v>
      </c>
      <c r="X3" s="3">
        <v>144496</v>
      </c>
      <c r="Y3" s="3">
        <v>144496</v>
      </c>
      <c r="Z3" s="4">
        <v>144496</v>
      </c>
      <c r="AA3" s="4">
        <v>144496</v>
      </c>
      <c r="AB3" s="4">
        <v>144496</v>
      </c>
      <c r="AC3" s="4">
        <v>144496</v>
      </c>
      <c r="AD3" s="4">
        <v>145746</v>
      </c>
      <c r="AE3" s="4">
        <v>291492</v>
      </c>
      <c r="AF3" s="4">
        <v>437238</v>
      </c>
      <c r="AG3" s="4">
        <v>582984</v>
      </c>
      <c r="AH3" s="4">
        <v>727480</v>
      </c>
      <c r="AI3" s="4">
        <v>871976</v>
      </c>
      <c r="AJ3" s="4">
        <v>1016472</v>
      </c>
      <c r="AK3" s="4">
        <v>1160968</v>
      </c>
      <c r="AL3" s="4">
        <v>1305464</v>
      </c>
      <c r="AM3" s="4">
        <v>1449960</v>
      </c>
      <c r="AN3" s="154">
        <v>132997</v>
      </c>
    </row>
    <row r="4" spans="1:40" x14ac:dyDescent="0.2">
      <c r="A4" s="1">
        <v>2019</v>
      </c>
      <c r="B4" s="2" t="s">
        <v>22</v>
      </c>
      <c r="C4" s="2" t="s">
        <v>22</v>
      </c>
      <c r="D4" s="1" t="s">
        <v>382</v>
      </c>
      <c r="E4" s="3">
        <v>10676268</v>
      </c>
      <c r="F4" s="1">
        <v>0</v>
      </c>
      <c r="G4" s="3">
        <v>43208</v>
      </c>
      <c r="H4" s="1">
        <v>0</v>
      </c>
      <c r="I4" s="3">
        <v>10676268</v>
      </c>
      <c r="J4" s="3">
        <v>10633060</v>
      </c>
      <c r="K4" s="3">
        <v>10633060</v>
      </c>
      <c r="L4" s="3">
        <v>0</v>
      </c>
      <c r="M4" s="3">
        <v>1022813</v>
      </c>
      <c r="N4" s="3">
        <v>115101</v>
      </c>
      <c r="O4" s="3">
        <v>110673</v>
      </c>
      <c r="P4" s="3">
        <v>564780</v>
      </c>
      <c r="Q4" s="3">
        <v>8862901</v>
      </c>
      <c r="R4" s="3">
        <v>8819693</v>
      </c>
      <c r="S4" s="3">
        <v>8819693</v>
      </c>
      <c r="T4" s="3">
        <v>1067627</v>
      </c>
      <c r="U4" s="3">
        <v>1067627</v>
      </c>
      <c r="V4" s="3">
        <v>1067627</v>
      </c>
      <c r="W4" s="3">
        <v>1067627</v>
      </c>
      <c r="X4" s="3">
        <v>1060425</v>
      </c>
      <c r="Y4" s="3">
        <v>1060425</v>
      </c>
      <c r="Z4" s="4">
        <v>1060426</v>
      </c>
      <c r="AA4" s="4">
        <v>1060426</v>
      </c>
      <c r="AB4" s="4">
        <v>1060426</v>
      </c>
      <c r="AC4" s="4">
        <v>1060424</v>
      </c>
      <c r="AD4" s="4">
        <v>1067627</v>
      </c>
      <c r="AE4" s="4">
        <v>2135254</v>
      </c>
      <c r="AF4" s="4">
        <v>3202881</v>
      </c>
      <c r="AG4" s="4">
        <v>4270508</v>
      </c>
      <c r="AH4" s="4">
        <v>5330933</v>
      </c>
      <c r="AI4" s="4">
        <v>6391358</v>
      </c>
      <c r="AJ4" s="4">
        <v>7451784</v>
      </c>
      <c r="AK4" s="4">
        <v>8512210</v>
      </c>
      <c r="AL4" s="4">
        <v>9572636</v>
      </c>
      <c r="AM4" s="4">
        <v>10633060</v>
      </c>
      <c r="AN4" s="154">
        <v>736793</v>
      </c>
    </row>
    <row r="5" spans="1:40" x14ac:dyDescent="0.2">
      <c r="A5" s="1">
        <v>2019</v>
      </c>
      <c r="B5" s="2" t="s">
        <v>23</v>
      </c>
      <c r="C5" s="2" t="s">
        <v>23</v>
      </c>
      <c r="D5" s="1" t="s">
        <v>383</v>
      </c>
      <c r="E5" s="3">
        <v>3536320</v>
      </c>
      <c r="F5" s="1">
        <v>531</v>
      </c>
      <c r="G5" s="3">
        <v>13606</v>
      </c>
      <c r="H5" s="1">
        <v>0</v>
      </c>
      <c r="I5" s="3">
        <v>3535789</v>
      </c>
      <c r="J5" s="3">
        <v>3522183</v>
      </c>
      <c r="K5" s="3">
        <v>3522183</v>
      </c>
      <c r="L5" s="3">
        <v>107245</v>
      </c>
      <c r="M5" s="3">
        <v>338662</v>
      </c>
      <c r="N5" s="3">
        <v>37415</v>
      </c>
      <c r="O5" s="3">
        <v>38783</v>
      </c>
      <c r="P5" s="3">
        <v>177845</v>
      </c>
      <c r="Q5" s="3">
        <v>2835839</v>
      </c>
      <c r="R5" s="3">
        <v>2822233</v>
      </c>
      <c r="S5" s="3">
        <v>2822233</v>
      </c>
      <c r="T5" s="3">
        <v>353579</v>
      </c>
      <c r="U5" s="3">
        <v>353579</v>
      </c>
      <c r="V5" s="3">
        <v>353579</v>
      </c>
      <c r="W5" s="3">
        <v>353579</v>
      </c>
      <c r="X5" s="3">
        <v>351311</v>
      </c>
      <c r="Y5" s="3">
        <v>351311</v>
      </c>
      <c r="Z5" s="4">
        <v>351311</v>
      </c>
      <c r="AA5" s="4">
        <v>351311</v>
      </c>
      <c r="AB5" s="4">
        <v>351311</v>
      </c>
      <c r="AC5" s="4">
        <v>351312</v>
      </c>
      <c r="AD5" s="4">
        <v>353579</v>
      </c>
      <c r="AE5" s="4">
        <v>707158</v>
      </c>
      <c r="AF5" s="4">
        <v>1060737</v>
      </c>
      <c r="AG5" s="4">
        <v>1414316</v>
      </c>
      <c r="AH5" s="4">
        <v>1765627</v>
      </c>
      <c r="AI5" s="4">
        <v>2116938</v>
      </c>
      <c r="AJ5" s="4">
        <v>2468249</v>
      </c>
      <c r="AK5" s="4">
        <v>2819560</v>
      </c>
      <c r="AL5" s="4">
        <v>3170871</v>
      </c>
      <c r="AM5" s="4">
        <v>3522183</v>
      </c>
      <c r="AN5" s="154">
        <v>247560</v>
      </c>
    </row>
    <row r="6" spans="1:40" x14ac:dyDescent="0.2">
      <c r="A6" s="1">
        <v>2019</v>
      </c>
      <c r="B6" s="2" t="s">
        <v>24</v>
      </c>
      <c r="C6" s="2" t="s">
        <v>24</v>
      </c>
      <c r="D6" s="1" t="s">
        <v>384</v>
      </c>
      <c r="E6" s="3">
        <v>972663</v>
      </c>
      <c r="F6" s="1">
        <v>265</v>
      </c>
      <c r="G6" s="3">
        <v>5350</v>
      </c>
      <c r="H6" s="3">
        <v>5699</v>
      </c>
      <c r="I6" s="3">
        <v>972398</v>
      </c>
      <c r="J6" s="3">
        <v>967048</v>
      </c>
      <c r="K6" s="3">
        <v>961349</v>
      </c>
      <c r="L6" s="3">
        <v>53623</v>
      </c>
      <c r="M6" s="3">
        <v>107029</v>
      </c>
      <c r="N6" s="3">
        <v>9416</v>
      </c>
      <c r="O6" s="3">
        <v>9074</v>
      </c>
      <c r="P6" s="3">
        <v>69936</v>
      </c>
      <c r="Q6" s="3">
        <v>723320</v>
      </c>
      <c r="R6" s="3">
        <v>717970</v>
      </c>
      <c r="S6" s="3">
        <v>712271</v>
      </c>
      <c r="T6" s="3">
        <v>97240</v>
      </c>
      <c r="U6" s="3">
        <v>97240</v>
      </c>
      <c r="V6" s="3">
        <v>97240</v>
      </c>
      <c r="W6" s="3">
        <v>97240</v>
      </c>
      <c r="X6" s="3">
        <v>96348</v>
      </c>
      <c r="Y6" s="3">
        <v>96348</v>
      </c>
      <c r="Z6" s="4">
        <v>94923</v>
      </c>
      <c r="AA6" s="4">
        <v>94923</v>
      </c>
      <c r="AB6" s="4">
        <v>94923</v>
      </c>
      <c r="AC6" s="4">
        <v>94924</v>
      </c>
      <c r="AD6" s="4">
        <v>97240</v>
      </c>
      <c r="AE6" s="4">
        <v>194480</v>
      </c>
      <c r="AF6" s="4">
        <v>291720</v>
      </c>
      <c r="AG6" s="4">
        <v>388960</v>
      </c>
      <c r="AH6" s="4">
        <v>485308</v>
      </c>
      <c r="AI6" s="4">
        <v>581656</v>
      </c>
      <c r="AJ6" s="4">
        <v>676579</v>
      </c>
      <c r="AK6" s="4">
        <v>771502</v>
      </c>
      <c r="AL6" s="4">
        <v>866425</v>
      </c>
      <c r="AM6" s="4">
        <v>961349</v>
      </c>
      <c r="AN6" s="154">
        <v>94072</v>
      </c>
    </row>
    <row r="7" spans="1:40" x14ac:dyDescent="0.2">
      <c r="A7" s="1">
        <v>2019</v>
      </c>
      <c r="B7" s="2" t="s">
        <v>25</v>
      </c>
      <c r="C7" s="2" t="s">
        <v>25</v>
      </c>
      <c r="D7" s="1" t="s">
        <v>385</v>
      </c>
      <c r="E7" s="3">
        <v>7916418</v>
      </c>
      <c r="F7" s="3">
        <v>1095</v>
      </c>
      <c r="G7" s="3">
        <v>29545</v>
      </c>
      <c r="H7" s="3">
        <v>7997</v>
      </c>
      <c r="I7" s="3">
        <v>7915323</v>
      </c>
      <c r="J7" s="3">
        <v>7885778</v>
      </c>
      <c r="K7" s="3">
        <v>7877781</v>
      </c>
      <c r="L7" s="3">
        <v>221193</v>
      </c>
      <c r="M7" s="3">
        <v>681310</v>
      </c>
      <c r="N7" s="3">
        <v>76340</v>
      </c>
      <c r="O7" s="3">
        <v>78905</v>
      </c>
      <c r="P7" s="3">
        <v>393032</v>
      </c>
      <c r="Q7" s="3">
        <v>6464543</v>
      </c>
      <c r="R7" s="3">
        <v>6434998</v>
      </c>
      <c r="S7" s="3">
        <v>6427001</v>
      </c>
      <c r="T7" s="3">
        <v>791532</v>
      </c>
      <c r="U7" s="3">
        <v>791532</v>
      </c>
      <c r="V7" s="3">
        <v>791532</v>
      </c>
      <c r="W7" s="3">
        <v>791532</v>
      </c>
      <c r="X7" s="3">
        <v>786608</v>
      </c>
      <c r="Y7" s="3">
        <v>786608</v>
      </c>
      <c r="Z7" s="4">
        <v>784609</v>
      </c>
      <c r="AA7" s="4">
        <v>784609</v>
      </c>
      <c r="AB7" s="4">
        <v>784609</v>
      </c>
      <c r="AC7" s="4">
        <v>784610</v>
      </c>
      <c r="AD7" s="4">
        <v>791532</v>
      </c>
      <c r="AE7" s="4">
        <v>1583064</v>
      </c>
      <c r="AF7" s="4">
        <v>2374596</v>
      </c>
      <c r="AG7" s="4">
        <v>3166128</v>
      </c>
      <c r="AH7" s="4">
        <v>3952736</v>
      </c>
      <c r="AI7" s="4">
        <v>4739344</v>
      </c>
      <c r="AJ7" s="4">
        <v>5523953</v>
      </c>
      <c r="AK7" s="4">
        <v>6308562</v>
      </c>
      <c r="AL7" s="4">
        <v>7093171</v>
      </c>
      <c r="AM7" s="4">
        <v>7877781</v>
      </c>
      <c r="AN7" s="154">
        <v>513298</v>
      </c>
    </row>
    <row r="8" spans="1:40" x14ac:dyDescent="0.2">
      <c r="A8" s="1">
        <v>2019</v>
      </c>
      <c r="B8" s="2" t="s">
        <v>26</v>
      </c>
      <c r="C8" s="2" t="s">
        <v>26</v>
      </c>
      <c r="D8" s="1" t="s">
        <v>386</v>
      </c>
      <c r="E8" s="3">
        <v>2995295</v>
      </c>
      <c r="F8" s="3">
        <v>531</v>
      </c>
      <c r="G8" s="3">
        <v>13121</v>
      </c>
      <c r="H8" s="1">
        <v>0</v>
      </c>
      <c r="I8" s="3">
        <v>2994764</v>
      </c>
      <c r="J8" s="3">
        <v>2981643</v>
      </c>
      <c r="K8" s="3">
        <v>2981643</v>
      </c>
      <c r="L8" s="3">
        <v>107245</v>
      </c>
      <c r="M8" s="3">
        <v>308530</v>
      </c>
      <c r="N8" s="3">
        <v>29711</v>
      </c>
      <c r="O8" s="3">
        <v>35610</v>
      </c>
      <c r="P8" s="3">
        <v>171510</v>
      </c>
      <c r="Q8" s="3">
        <v>2342158</v>
      </c>
      <c r="R8" s="3">
        <v>2329037</v>
      </c>
      <c r="S8" s="3">
        <v>2329037</v>
      </c>
      <c r="T8" s="3">
        <v>299476</v>
      </c>
      <c r="U8" s="3">
        <v>299476</v>
      </c>
      <c r="V8" s="3">
        <v>299476</v>
      </c>
      <c r="W8" s="3">
        <v>299476</v>
      </c>
      <c r="X8" s="3">
        <v>297290</v>
      </c>
      <c r="Y8" s="3">
        <v>297290</v>
      </c>
      <c r="Z8" s="4">
        <v>297290</v>
      </c>
      <c r="AA8" s="4">
        <v>297290</v>
      </c>
      <c r="AB8" s="4">
        <v>297290</v>
      </c>
      <c r="AC8" s="4">
        <v>297289</v>
      </c>
      <c r="AD8" s="4">
        <v>299476</v>
      </c>
      <c r="AE8" s="4">
        <v>598952</v>
      </c>
      <c r="AF8" s="4">
        <v>898428</v>
      </c>
      <c r="AG8" s="4">
        <v>1197904</v>
      </c>
      <c r="AH8" s="4">
        <v>1495194</v>
      </c>
      <c r="AI8" s="4">
        <v>1792484</v>
      </c>
      <c r="AJ8" s="4">
        <v>2089774</v>
      </c>
      <c r="AK8" s="4">
        <v>2387064</v>
      </c>
      <c r="AL8" s="4">
        <v>2684354</v>
      </c>
      <c r="AM8" s="4">
        <v>2981643</v>
      </c>
      <c r="AN8" s="154">
        <v>221598</v>
      </c>
    </row>
    <row r="9" spans="1:40" x14ac:dyDescent="0.2">
      <c r="A9" s="1">
        <v>2019</v>
      </c>
      <c r="B9" s="2" t="s">
        <v>27</v>
      </c>
      <c r="C9" s="2" t="s">
        <v>27</v>
      </c>
      <c r="D9" s="1" t="s">
        <v>387</v>
      </c>
      <c r="E9" s="3">
        <v>1531327</v>
      </c>
      <c r="F9" s="1">
        <v>348</v>
      </c>
      <c r="G9" s="3">
        <v>6712</v>
      </c>
      <c r="H9" s="1">
        <v>0</v>
      </c>
      <c r="I9" s="3">
        <v>1530979</v>
      </c>
      <c r="J9" s="3">
        <v>1524267</v>
      </c>
      <c r="K9" s="3">
        <v>1524267</v>
      </c>
      <c r="L9" s="3">
        <v>70380</v>
      </c>
      <c r="M9" s="3">
        <v>173990</v>
      </c>
      <c r="N9" s="3">
        <v>21580</v>
      </c>
      <c r="O9" s="3">
        <v>16496</v>
      </c>
      <c r="P9" s="3">
        <v>91001</v>
      </c>
      <c r="Q9" s="3">
        <v>1157532</v>
      </c>
      <c r="R9" s="3">
        <v>1150820</v>
      </c>
      <c r="S9" s="3">
        <v>1150820</v>
      </c>
      <c r="T9" s="3">
        <v>153098</v>
      </c>
      <c r="U9" s="3">
        <v>153098</v>
      </c>
      <c r="V9" s="3">
        <v>153098</v>
      </c>
      <c r="W9" s="3">
        <v>153098</v>
      </c>
      <c r="X9" s="3">
        <v>151979</v>
      </c>
      <c r="Y9" s="3">
        <v>151979</v>
      </c>
      <c r="Z9" s="4">
        <v>151979</v>
      </c>
      <c r="AA9" s="4">
        <v>151979</v>
      </c>
      <c r="AB9" s="4">
        <v>151979</v>
      </c>
      <c r="AC9" s="4">
        <v>151980</v>
      </c>
      <c r="AD9" s="4">
        <v>153098</v>
      </c>
      <c r="AE9" s="4">
        <v>306196</v>
      </c>
      <c r="AF9" s="4">
        <v>459294</v>
      </c>
      <c r="AG9" s="4">
        <v>612392</v>
      </c>
      <c r="AH9" s="4">
        <v>764371</v>
      </c>
      <c r="AI9" s="4">
        <v>916350</v>
      </c>
      <c r="AJ9" s="4">
        <v>1068329</v>
      </c>
      <c r="AK9" s="4">
        <v>1220308</v>
      </c>
      <c r="AL9" s="4">
        <v>1372287</v>
      </c>
      <c r="AM9" s="4">
        <v>1524267</v>
      </c>
      <c r="AN9" s="154">
        <v>119951</v>
      </c>
    </row>
    <row r="10" spans="1:40" x14ac:dyDescent="0.2">
      <c r="A10" s="1">
        <v>2019</v>
      </c>
      <c r="B10" s="2" t="s">
        <v>28</v>
      </c>
      <c r="C10" s="2" t="s">
        <v>28</v>
      </c>
      <c r="D10" s="1" t="s">
        <v>388</v>
      </c>
      <c r="E10" s="3">
        <v>6621694</v>
      </c>
      <c r="F10" s="3">
        <v>1974</v>
      </c>
      <c r="G10" s="3">
        <v>32877</v>
      </c>
      <c r="H10" s="1">
        <v>0</v>
      </c>
      <c r="I10" s="3">
        <v>6619720</v>
      </c>
      <c r="J10" s="3">
        <v>6586843</v>
      </c>
      <c r="K10" s="3">
        <v>6586843</v>
      </c>
      <c r="L10" s="3">
        <v>398818</v>
      </c>
      <c r="M10" s="3">
        <v>774189</v>
      </c>
      <c r="N10" s="3">
        <v>81854</v>
      </c>
      <c r="O10" s="3">
        <v>93634</v>
      </c>
      <c r="P10" s="3">
        <v>429739</v>
      </c>
      <c r="Q10" s="3">
        <v>4841486</v>
      </c>
      <c r="R10" s="3">
        <v>4808609</v>
      </c>
      <c r="S10" s="3">
        <v>4808609</v>
      </c>
      <c r="T10" s="3">
        <v>661972</v>
      </c>
      <c r="U10" s="3">
        <v>661972</v>
      </c>
      <c r="V10" s="3">
        <v>661972</v>
      </c>
      <c r="W10" s="3">
        <v>661972</v>
      </c>
      <c r="X10" s="3">
        <v>656493</v>
      </c>
      <c r="Y10" s="3">
        <v>656493</v>
      </c>
      <c r="Z10" s="4">
        <v>656492</v>
      </c>
      <c r="AA10" s="4">
        <v>656492</v>
      </c>
      <c r="AB10" s="4">
        <v>656492</v>
      </c>
      <c r="AC10" s="4">
        <v>656493</v>
      </c>
      <c r="AD10" s="4">
        <v>661972</v>
      </c>
      <c r="AE10" s="4">
        <v>1323944</v>
      </c>
      <c r="AF10" s="4">
        <v>1985916</v>
      </c>
      <c r="AG10" s="4">
        <v>2647888</v>
      </c>
      <c r="AH10" s="4">
        <v>3304381</v>
      </c>
      <c r="AI10" s="4">
        <v>3960874</v>
      </c>
      <c r="AJ10" s="4">
        <v>4617366</v>
      </c>
      <c r="AK10" s="4">
        <v>5273858</v>
      </c>
      <c r="AL10" s="4">
        <v>5930350</v>
      </c>
      <c r="AM10" s="4">
        <v>6586843</v>
      </c>
      <c r="AN10" s="154">
        <v>638293</v>
      </c>
    </row>
    <row r="11" spans="1:40" x14ac:dyDescent="0.2">
      <c r="A11" s="1">
        <v>2019</v>
      </c>
      <c r="B11" s="2" t="s">
        <v>29</v>
      </c>
      <c r="C11" s="2" t="s">
        <v>29</v>
      </c>
      <c r="D11" s="1" t="s">
        <v>389</v>
      </c>
      <c r="E11" s="3">
        <v>5927892</v>
      </c>
      <c r="F11" s="3">
        <v>1161</v>
      </c>
      <c r="G11" s="3">
        <v>27332</v>
      </c>
      <c r="H11" s="1">
        <v>0</v>
      </c>
      <c r="I11" s="3">
        <v>5926731</v>
      </c>
      <c r="J11" s="3">
        <v>5899399</v>
      </c>
      <c r="K11" s="3">
        <v>5899399</v>
      </c>
      <c r="L11" s="3">
        <v>234599</v>
      </c>
      <c r="M11" s="3">
        <v>624930</v>
      </c>
      <c r="N11" s="3">
        <v>72666</v>
      </c>
      <c r="O11" s="3">
        <v>66123</v>
      </c>
      <c r="P11" s="3">
        <v>357256</v>
      </c>
      <c r="Q11" s="3">
        <v>4571157</v>
      </c>
      <c r="R11" s="3">
        <v>4543825</v>
      </c>
      <c r="S11" s="3">
        <v>4543825</v>
      </c>
      <c r="T11" s="3">
        <v>592673</v>
      </c>
      <c r="U11" s="3">
        <v>592673</v>
      </c>
      <c r="V11" s="3">
        <v>592673</v>
      </c>
      <c r="W11" s="3">
        <v>592673</v>
      </c>
      <c r="X11" s="3">
        <v>588118</v>
      </c>
      <c r="Y11" s="3">
        <v>588118</v>
      </c>
      <c r="Z11" s="4">
        <v>588118</v>
      </c>
      <c r="AA11" s="4">
        <v>588118</v>
      </c>
      <c r="AB11" s="4">
        <v>588118</v>
      </c>
      <c r="AC11" s="4">
        <v>588117</v>
      </c>
      <c r="AD11" s="4">
        <v>592673</v>
      </c>
      <c r="AE11" s="4">
        <v>1185346</v>
      </c>
      <c r="AF11" s="4">
        <v>1778019</v>
      </c>
      <c r="AG11" s="4">
        <v>2370692</v>
      </c>
      <c r="AH11" s="4">
        <v>2958810</v>
      </c>
      <c r="AI11" s="4">
        <v>3546928</v>
      </c>
      <c r="AJ11" s="4">
        <v>4135046</v>
      </c>
      <c r="AK11" s="4">
        <v>4723164</v>
      </c>
      <c r="AL11" s="4">
        <v>5311282</v>
      </c>
      <c r="AM11" s="4">
        <v>5899399</v>
      </c>
      <c r="AN11" s="154">
        <v>507879</v>
      </c>
    </row>
    <row r="12" spans="1:40" x14ac:dyDescent="0.2">
      <c r="A12" s="1">
        <v>2019</v>
      </c>
      <c r="B12" s="2" t="s">
        <v>30</v>
      </c>
      <c r="C12" s="2" t="s">
        <v>30</v>
      </c>
      <c r="D12" s="1" t="s">
        <v>390</v>
      </c>
      <c r="E12" s="3">
        <v>3333314</v>
      </c>
      <c r="F12" s="3">
        <v>580</v>
      </c>
      <c r="G12" s="3">
        <v>14638</v>
      </c>
      <c r="H12" s="1">
        <v>0</v>
      </c>
      <c r="I12" s="3">
        <v>3332734</v>
      </c>
      <c r="J12" s="3">
        <v>3318096</v>
      </c>
      <c r="K12" s="3">
        <v>3318096</v>
      </c>
      <c r="L12" s="3">
        <v>117300</v>
      </c>
      <c r="M12" s="3">
        <v>388251</v>
      </c>
      <c r="N12" s="3">
        <v>36473</v>
      </c>
      <c r="O12" s="3">
        <v>43447</v>
      </c>
      <c r="P12" s="3">
        <v>191376</v>
      </c>
      <c r="Q12" s="3">
        <v>2555887</v>
      </c>
      <c r="R12" s="3">
        <v>2541249</v>
      </c>
      <c r="S12" s="3">
        <v>2541249</v>
      </c>
      <c r="T12" s="3">
        <v>333273</v>
      </c>
      <c r="U12" s="3">
        <v>333273</v>
      </c>
      <c r="V12" s="3">
        <v>333273</v>
      </c>
      <c r="W12" s="3">
        <v>333273</v>
      </c>
      <c r="X12" s="3">
        <v>330834</v>
      </c>
      <c r="Y12" s="3">
        <v>330834</v>
      </c>
      <c r="Z12" s="4">
        <v>330834</v>
      </c>
      <c r="AA12" s="4">
        <v>330834</v>
      </c>
      <c r="AB12" s="4">
        <v>330834</v>
      </c>
      <c r="AC12" s="4">
        <v>330834</v>
      </c>
      <c r="AD12" s="4">
        <v>333273</v>
      </c>
      <c r="AE12" s="4">
        <v>666546</v>
      </c>
      <c r="AF12" s="4">
        <v>999819</v>
      </c>
      <c r="AG12" s="4">
        <v>1333092</v>
      </c>
      <c r="AH12" s="4">
        <v>1663926</v>
      </c>
      <c r="AI12" s="4">
        <v>1994760</v>
      </c>
      <c r="AJ12" s="4">
        <v>2325594</v>
      </c>
      <c r="AK12" s="4">
        <v>2656428</v>
      </c>
      <c r="AL12" s="4">
        <v>2987262</v>
      </c>
      <c r="AM12" s="4">
        <v>3318096</v>
      </c>
      <c r="AN12" s="154">
        <v>271733</v>
      </c>
    </row>
    <row r="13" spans="1:40" x14ac:dyDescent="0.2">
      <c r="A13" s="1">
        <v>2019</v>
      </c>
      <c r="B13" s="2" t="s">
        <v>31</v>
      </c>
      <c r="C13" s="2" t="s">
        <v>31</v>
      </c>
      <c r="D13" s="1" t="s">
        <v>809</v>
      </c>
      <c r="E13" s="3">
        <v>4866192</v>
      </c>
      <c r="F13" s="3">
        <v>1144</v>
      </c>
      <c r="G13" s="3">
        <v>19359</v>
      </c>
      <c r="H13" s="1">
        <v>0</v>
      </c>
      <c r="I13" s="3">
        <v>4865048</v>
      </c>
      <c r="J13" s="3">
        <v>4845689</v>
      </c>
      <c r="K13" s="3">
        <v>4845689</v>
      </c>
      <c r="L13" s="3">
        <v>231248</v>
      </c>
      <c r="M13" s="3">
        <v>494760</v>
      </c>
      <c r="N13" s="3">
        <v>60179</v>
      </c>
      <c r="O13" s="3">
        <v>56529</v>
      </c>
      <c r="P13" s="3">
        <v>253038</v>
      </c>
      <c r="Q13" s="3">
        <v>3769294</v>
      </c>
      <c r="R13" s="3">
        <v>3749935</v>
      </c>
      <c r="S13" s="3">
        <v>3749935</v>
      </c>
      <c r="T13" s="3">
        <v>486505</v>
      </c>
      <c r="U13" s="3">
        <v>486505</v>
      </c>
      <c r="V13" s="3">
        <v>486505</v>
      </c>
      <c r="W13" s="3">
        <v>486505</v>
      </c>
      <c r="X13" s="3">
        <v>483278</v>
      </c>
      <c r="Y13" s="3">
        <v>483278</v>
      </c>
      <c r="Z13" s="4">
        <v>483278</v>
      </c>
      <c r="AA13" s="4">
        <v>483278</v>
      </c>
      <c r="AB13" s="4">
        <v>483278</v>
      </c>
      <c r="AC13" s="4">
        <v>483279</v>
      </c>
      <c r="AD13" s="4">
        <v>486505</v>
      </c>
      <c r="AE13" s="4">
        <v>973010</v>
      </c>
      <c r="AF13" s="4">
        <v>1459515</v>
      </c>
      <c r="AG13" s="4">
        <v>1946020</v>
      </c>
      <c r="AH13" s="4">
        <v>2429298</v>
      </c>
      <c r="AI13" s="4">
        <v>2912576</v>
      </c>
      <c r="AJ13" s="4">
        <v>3395854</v>
      </c>
      <c r="AK13" s="4">
        <v>3879132</v>
      </c>
      <c r="AL13" s="4">
        <v>4362410</v>
      </c>
      <c r="AM13" s="4">
        <v>4845689</v>
      </c>
      <c r="AN13" s="154">
        <v>336636</v>
      </c>
    </row>
    <row r="14" spans="1:40" x14ac:dyDescent="0.2">
      <c r="A14" s="1">
        <v>2019</v>
      </c>
      <c r="B14" s="2" t="s">
        <v>32</v>
      </c>
      <c r="C14" s="2" t="s">
        <v>32</v>
      </c>
      <c r="D14" s="1" t="s">
        <v>391</v>
      </c>
      <c r="E14" s="3">
        <v>18229008</v>
      </c>
      <c r="F14" s="3">
        <v>4594</v>
      </c>
      <c r="G14" s="3">
        <v>107404</v>
      </c>
      <c r="H14" s="1">
        <v>0</v>
      </c>
      <c r="I14" s="3">
        <v>18224414</v>
      </c>
      <c r="J14" s="3">
        <v>18117010</v>
      </c>
      <c r="K14" s="3">
        <v>18117010</v>
      </c>
      <c r="L14" s="3">
        <v>928342</v>
      </c>
      <c r="M14" s="3">
        <v>2493626</v>
      </c>
      <c r="N14" s="3">
        <v>277251</v>
      </c>
      <c r="O14" s="3">
        <v>306017</v>
      </c>
      <c r="P14" s="3">
        <v>1403885</v>
      </c>
      <c r="Q14" s="3">
        <v>12815293</v>
      </c>
      <c r="R14" s="3">
        <v>12707889</v>
      </c>
      <c r="S14" s="3">
        <v>12707889</v>
      </c>
      <c r="T14" s="3">
        <v>1822441</v>
      </c>
      <c r="U14" s="3">
        <v>1822441</v>
      </c>
      <c r="V14" s="3">
        <v>1822441</v>
      </c>
      <c r="W14" s="3">
        <v>1822441</v>
      </c>
      <c r="X14" s="3">
        <v>1804541</v>
      </c>
      <c r="Y14" s="3">
        <v>1804541</v>
      </c>
      <c r="Z14" s="4">
        <v>1804541</v>
      </c>
      <c r="AA14" s="4">
        <v>1804541</v>
      </c>
      <c r="AB14" s="4">
        <v>1804541</v>
      </c>
      <c r="AC14" s="4">
        <v>1804541</v>
      </c>
      <c r="AD14" s="4">
        <v>1822441</v>
      </c>
      <c r="AE14" s="4">
        <v>3644882</v>
      </c>
      <c r="AF14" s="4">
        <v>5467323</v>
      </c>
      <c r="AG14" s="4">
        <v>7289764</v>
      </c>
      <c r="AH14" s="4">
        <v>9094305</v>
      </c>
      <c r="AI14" s="4">
        <v>10898846</v>
      </c>
      <c r="AJ14" s="4">
        <v>12703387</v>
      </c>
      <c r="AK14" s="4">
        <v>14507928</v>
      </c>
      <c r="AL14" s="4">
        <v>16312469</v>
      </c>
      <c r="AM14" s="4">
        <v>18117010</v>
      </c>
      <c r="AN14" s="154">
        <v>1786744</v>
      </c>
    </row>
    <row r="15" spans="1:40" x14ac:dyDescent="0.2">
      <c r="A15" s="1">
        <v>2019</v>
      </c>
      <c r="B15" s="2" t="s">
        <v>33</v>
      </c>
      <c r="C15" s="2" t="s">
        <v>33</v>
      </c>
      <c r="D15" s="1" t="s">
        <v>392</v>
      </c>
      <c r="E15" s="3">
        <v>7892502</v>
      </c>
      <c r="F15" s="3">
        <v>1012</v>
      </c>
      <c r="G15" s="3">
        <v>31928</v>
      </c>
      <c r="H15" s="1">
        <v>0</v>
      </c>
      <c r="I15" s="3">
        <v>7891490</v>
      </c>
      <c r="J15" s="3">
        <v>7859562</v>
      </c>
      <c r="K15" s="3">
        <v>7859562</v>
      </c>
      <c r="L15" s="3">
        <v>204436</v>
      </c>
      <c r="M15" s="3">
        <v>777325</v>
      </c>
      <c r="N15" s="3">
        <v>81421</v>
      </c>
      <c r="O15" s="3">
        <v>92439</v>
      </c>
      <c r="P15" s="3">
        <v>417332</v>
      </c>
      <c r="Q15" s="3">
        <v>6318537</v>
      </c>
      <c r="R15" s="3">
        <v>6286609</v>
      </c>
      <c r="S15" s="3">
        <v>6286609</v>
      </c>
      <c r="T15" s="3">
        <v>789149</v>
      </c>
      <c r="U15" s="3">
        <v>789149</v>
      </c>
      <c r="V15" s="3">
        <v>789149</v>
      </c>
      <c r="W15" s="3">
        <v>789149</v>
      </c>
      <c r="X15" s="3">
        <v>783828</v>
      </c>
      <c r="Y15" s="3">
        <v>783828</v>
      </c>
      <c r="Z15" s="4">
        <v>783828</v>
      </c>
      <c r="AA15" s="4">
        <v>783828</v>
      </c>
      <c r="AB15" s="4">
        <v>783828</v>
      </c>
      <c r="AC15" s="4">
        <v>783826</v>
      </c>
      <c r="AD15" s="4">
        <v>789149</v>
      </c>
      <c r="AE15" s="4">
        <v>1578298</v>
      </c>
      <c r="AF15" s="4">
        <v>2367447</v>
      </c>
      <c r="AG15" s="4">
        <v>3156596</v>
      </c>
      <c r="AH15" s="4">
        <v>3940424</v>
      </c>
      <c r="AI15" s="4">
        <v>4724252</v>
      </c>
      <c r="AJ15" s="4">
        <v>5508080</v>
      </c>
      <c r="AK15" s="4">
        <v>6291908</v>
      </c>
      <c r="AL15" s="4">
        <v>7075736</v>
      </c>
      <c r="AM15" s="4">
        <v>7859562</v>
      </c>
      <c r="AN15" s="154">
        <v>558345</v>
      </c>
    </row>
    <row r="16" spans="1:40" x14ac:dyDescent="0.2">
      <c r="A16" s="1">
        <v>2019</v>
      </c>
      <c r="B16" s="2" t="s">
        <v>34</v>
      </c>
      <c r="C16" s="2" t="s">
        <v>34</v>
      </c>
      <c r="D16" s="1" t="s">
        <v>393</v>
      </c>
      <c r="E16" s="3">
        <v>1413765</v>
      </c>
      <c r="F16" s="1">
        <v>315</v>
      </c>
      <c r="G16" s="3">
        <v>5952</v>
      </c>
      <c r="H16" s="1">
        <v>0</v>
      </c>
      <c r="I16" s="3">
        <v>1413450</v>
      </c>
      <c r="J16" s="3">
        <v>1407498</v>
      </c>
      <c r="K16" s="3">
        <v>1407498</v>
      </c>
      <c r="L16" s="3">
        <v>63677</v>
      </c>
      <c r="M16" s="3">
        <v>148799</v>
      </c>
      <c r="N16" s="3">
        <v>18783</v>
      </c>
      <c r="O16" s="3">
        <v>16393</v>
      </c>
      <c r="P16" s="3">
        <v>77805</v>
      </c>
      <c r="Q16" s="3">
        <v>1087993</v>
      </c>
      <c r="R16" s="3">
        <v>1082041</v>
      </c>
      <c r="S16" s="3">
        <v>1082041</v>
      </c>
      <c r="T16" s="3">
        <v>141345</v>
      </c>
      <c r="U16" s="3">
        <v>141345</v>
      </c>
      <c r="V16" s="3">
        <v>141345</v>
      </c>
      <c r="W16" s="3">
        <v>141345</v>
      </c>
      <c r="X16" s="3">
        <v>140353</v>
      </c>
      <c r="Y16" s="3">
        <v>140353</v>
      </c>
      <c r="Z16" s="4">
        <v>140353</v>
      </c>
      <c r="AA16" s="4">
        <v>140353</v>
      </c>
      <c r="AB16" s="4">
        <v>140353</v>
      </c>
      <c r="AC16" s="4">
        <v>140353</v>
      </c>
      <c r="AD16" s="4">
        <v>141345</v>
      </c>
      <c r="AE16" s="4">
        <v>282690</v>
      </c>
      <c r="AF16" s="4">
        <v>424035</v>
      </c>
      <c r="AG16" s="4">
        <v>565380</v>
      </c>
      <c r="AH16" s="4">
        <v>705733</v>
      </c>
      <c r="AI16" s="4">
        <v>846086</v>
      </c>
      <c r="AJ16" s="4">
        <v>986439</v>
      </c>
      <c r="AK16" s="4">
        <v>1126792</v>
      </c>
      <c r="AL16" s="4">
        <v>1267145</v>
      </c>
      <c r="AM16" s="4">
        <v>1407498</v>
      </c>
      <c r="AN16" s="154">
        <v>115076</v>
      </c>
    </row>
    <row r="17" spans="1:40" x14ac:dyDescent="0.2">
      <c r="A17" s="1">
        <v>2019</v>
      </c>
      <c r="B17" s="2" t="s">
        <v>35</v>
      </c>
      <c r="C17" s="2" t="s">
        <v>35</v>
      </c>
      <c r="D17" s="1" t="s">
        <v>394</v>
      </c>
      <c r="E17" s="3">
        <v>67027361</v>
      </c>
      <c r="F17" s="3">
        <v>5374</v>
      </c>
      <c r="G17" s="3">
        <v>288473</v>
      </c>
      <c r="H17" s="1">
        <v>0</v>
      </c>
      <c r="I17" s="3">
        <v>67021987</v>
      </c>
      <c r="J17" s="3">
        <v>66733514</v>
      </c>
      <c r="K17" s="3">
        <v>66733514</v>
      </c>
      <c r="L17" s="3">
        <v>1085858</v>
      </c>
      <c r="M17" s="3">
        <v>6105451</v>
      </c>
      <c r="N17" s="3">
        <v>705164</v>
      </c>
      <c r="O17" s="3">
        <v>672481</v>
      </c>
      <c r="P17" s="3">
        <v>3770651</v>
      </c>
      <c r="Q17" s="3">
        <v>54682382</v>
      </c>
      <c r="R17" s="3">
        <v>54393909</v>
      </c>
      <c r="S17" s="3">
        <v>54393909</v>
      </c>
      <c r="T17" s="3">
        <v>6702199</v>
      </c>
      <c r="U17" s="3">
        <v>6702199</v>
      </c>
      <c r="V17" s="3">
        <v>6702199</v>
      </c>
      <c r="W17" s="3">
        <v>6702199</v>
      </c>
      <c r="X17" s="3">
        <v>6654120</v>
      </c>
      <c r="Y17" s="3">
        <v>6654120</v>
      </c>
      <c r="Z17" s="4">
        <v>6654120</v>
      </c>
      <c r="AA17" s="4">
        <v>6654120</v>
      </c>
      <c r="AB17" s="4">
        <v>6654120</v>
      </c>
      <c r="AC17" s="4">
        <v>6654118</v>
      </c>
      <c r="AD17" s="4">
        <v>6702199</v>
      </c>
      <c r="AE17" s="4">
        <v>13404398</v>
      </c>
      <c r="AF17" s="4">
        <v>20106597</v>
      </c>
      <c r="AG17" s="4">
        <v>26808796</v>
      </c>
      <c r="AH17" s="4">
        <v>33462916</v>
      </c>
      <c r="AI17" s="4">
        <v>40117036</v>
      </c>
      <c r="AJ17" s="4">
        <v>46771156</v>
      </c>
      <c r="AK17" s="4">
        <v>53425276</v>
      </c>
      <c r="AL17" s="4">
        <v>60079396</v>
      </c>
      <c r="AM17" s="4">
        <v>66733514</v>
      </c>
      <c r="AN17" s="154">
        <v>5087875</v>
      </c>
    </row>
    <row r="18" spans="1:40" x14ac:dyDescent="0.2">
      <c r="A18" s="1">
        <v>2019</v>
      </c>
      <c r="B18" s="2" t="s">
        <v>36</v>
      </c>
      <c r="C18" s="2" t="s">
        <v>36</v>
      </c>
      <c r="D18" s="1" t="s">
        <v>395</v>
      </c>
      <c r="E18" s="3">
        <v>5008505</v>
      </c>
      <c r="F18" s="1">
        <v>779</v>
      </c>
      <c r="G18" s="3">
        <v>20595</v>
      </c>
      <c r="H18" s="1">
        <v>0</v>
      </c>
      <c r="I18" s="3">
        <v>5007726</v>
      </c>
      <c r="J18" s="3">
        <v>4987131</v>
      </c>
      <c r="K18" s="3">
        <v>4987131</v>
      </c>
      <c r="L18" s="3">
        <v>157517</v>
      </c>
      <c r="M18" s="3">
        <v>508998</v>
      </c>
      <c r="N18" s="3">
        <v>66742</v>
      </c>
      <c r="O18" s="3">
        <v>56762</v>
      </c>
      <c r="P18" s="3">
        <v>273874</v>
      </c>
      <c r="Q18" s="3">
        <v>3943833</v>
      </c>
      <c r="R18" s="3">
        <v>3923238</v>
      </c>
      <c r="S18" s="3">
        <v>3923238</v>
      </c>
      <c r="T18" s="3">
        <v>500773</v>
      </c>
      <c r="U18" s="3">
        <v>500773</v>
      </c>
      <c r="V18" s="3">
        <v>500773</v>
      </c>
      <c r="W18" s="3">
        <v>500773</v>
      </c>
      <c r="X18" s="3">
        <v>497340</v>
      </c>
      <c r="Y18" s="3">
        <v>497340</v>
      </c>
      <c r="Z18" s="4">
        <v>497340</v>
      </c>
      <c r="AA18" s="4">
        <v>497340</v>
      </c>
      <c r="AB18" s="4">
        <v>497340</v>
      </c>
      <c r="AC18" s="4">
        <v>497339</v>
      </c>
      <c r="AD18" s="4">
        <v>500773</v>
      </c>
      <c r="AE18" s="4">
        <v>1001546</v>
      </c>
      <c r="AF18" s="4">
        <v>1502319</v>
      </c>
      <c r="AG18" s="4">
        <v>2003092</v>
      </c>
      <c r="AH18" s="4">
        <v>2500432</v>
      </c>
      <c r="AI18" s="4">
        <v>2997772</v>
      </c>
      <c r="AJ18" s="4">
        <v>3495112</v>
      </c>
      <c r="AK18" s="4">
        <v>3992452</v>
      </c>
      <c r="AL18" s="4">
        <v>4489792</v>
      </c>
      <c r="AM18" s="4">
        <v>4987131</v>
      </c>
      <c r="AN18" s="154">
        <v>382092</v>
      </c>
    </row>
    <row r="19" spans="1:40" x14ac:dyDescent="0.2">
      <c r="A19" s="1">
        <v>2019</v>
      </c>
      <c r="B19" s="2" t="s">
        <v>37</v>
      </c>
      <c r="C19" s="2" t="s">
        <v>37</v>
      </c>
      <c r="D19" s="1" t="s">
        <v>396</v>
      </c>
      <c r="E19" s="3">
        <v>1482374</v>
      </c>
      <c r="F19" s="1">
        <v>232</v>
      </c>
      <c r="G19" s="3">
        <v>10316</v>
      </c>
      <c r="H19" s="1">
        <v>0</v>
      </c>
      <c r="I19" s="3">
        <v>1482142</v>
      </c>
      <c r="J19" s="3">
        <v>1471826</v>
      </c>
      <c r="K19" s="3">
        <v>1471826</v>
      </c>
      <c r="L19" s="3">
        <v>46920</v>
      </c>
      <c r="M19" s="3">
        <v>282946</v>
      </c>
      <c r="N19" s="3">
        <v>34294</v>
      </c>
      <c r="O19" s="3">
        <v>31831</v>
      </c>
      <c r="P19" s="3">
        <v>136129</v>
      </c>
      <c r="Q19" s="3">
        <v>950022</v>
      </c>
      <c r="R19" s="3">
        <v>939706</v>
      </c>
      <c r="S19" s="3">
        <v>939706</v>
      </c>
      <c r="T19" s="3">
        <v>148214</v>
      </c>
      <c r="U19" s="3">
        <v>148214</v>
      </c>
      <c r="V19" s="3">
        <v>148214</v>
      </c>
      <c r="W19" s="3">
        <v>148214</v>
      </c>
      <c r="X19" s="3">
        <v>146495</v>
      </c>
      <c r="Y19" s="3">
        <v>146495</v>
      </c>
      <c r="Z19" s="4">
        <v>146495</v>
      </c>
      <c r="AA19" s="4">
        <v>146495</v>
      </c>
      <c r="AB19" s="4">
        <v>146495</v>
      </c>
      <c r="AC19" s="4">
        <v>146495</v>
      </c>
      <c r="AD19" s="4">
        <v>148214</v>
      </c>
      <c r="AE19" s="4">
        <v>296428</v>
      </c>
      <c r="AF19" s="4">
        <v>444642</v>
      </c>
      <c r="AG19" s="4">
        <v>592856</v>
      </c>
      <c r="AH19" s="4">
        <v>739351</v>
      </c>
      <c r="AI19" s="4">
        <v>885846</v>
      </c>
      <c r="AJ19" s="4">
        <v>1032341</v>
      </c>
      <c r="AK19" s="4">
        <v>1178836</v>
      </c>
      <c r="AL19" s="4">
        <v>1325331</v>
      </c>
      <c r="AM19" s="4">
        <v>1471826</v>
      </c>
      <c r="AN19" s="154">
        <v>205761</v>
      </c>
    </row>
    <row r="20" spans="1:40" x14ac:dyDescent="0.2">
      <c r="A20" s="1">
        <v>2019</v>
      </c>
      <c r="B20" s="2" t="s">
        <v>38</v>
      </c>
      <c r="C20" s="2" t="s">
        <v>38</v>
      </c>
      <c r="D20" s="1" t="s">
        <v>397</v>
      </c>
      <c r="E20" s="3">
        <v>1023195</v>
      </c>
      <c r="F20" s="3">
        <v>199</v>
      </c>
      <c r="G20" s="3">
        <v>6669</v>
      </c>
      <c r="H20" s="1">
        <v>0</v>
      </c>
      <c r="I20" s="3">
        <v>1022996</v>
      </c>
      <c r="J20" s="3">
        <v>1016327</v>
      </c>
      <c r="K20" s="3">
        <v>1016327</v>
      </c>
      <c r="L20" s="3">
        <v>40217</v>
      </c>
      <c r="M20" s="3">
        <v>172418</v>
      </c>
      <c r="N20" s="3">
        <v>17269</v>
      </c>
      <c r="O20" s="3">
        <v>16888</v>
      </c>
      <c r="P20" s="3">
        <v>92455</v>
      </c>
      <c r="Q20" s="3">
        <v>683749</v>
      </c>
      <c r="R20" s="3">
        <v>677080</v>
      </c>
      <c r="S20" s="3">
        <v>677080</v>
      </c>
      <c r="T20" s="3">
        <v>102300</v>
      </c>
      <c r="U20" s="3">
        <v>102300</v>
      </c>
      <c r="V20" s="3">
        <v>102300</v>
      </c>
      <c r="W20" s="3">
        <v>102300</v>
      </c>
      <c r="X20" s="3">
        <v>101188</v>
      </c>
      <c r="Y20" s="3">
        <v>101188</v>
      </c>
      <c r="Z20" s="4">
        <v>101188</v>
      </c>
      <c r="AA20" s="4">
        <v>101188</v>
      </c>
      <c r="AB20" s="4">
        <v>101188</v>
      </c>
      <c r="AC20" s="4">
        <v>101187</v>
      </c>
      <c r="AD20" s="4">
        <v>102300</v>
      </c>
      <c r="AE20" s="4">
        <v>204600</v>
      </c>
      <c r="AF20" s="4">
        <v>306900</v>
      </c>
      <c r="AG20" s="4">
        <v>409200</v>
      </c>
      <c r="AH20" s="4">
        <v>510388</v>
      </c>
      <c r="AI20" s="4">
        <v>611576</v>
      </c>
      <c r="AJ20" s="4">
        <v>712764</v>
      </c>
      <c r="AK20" s="4">
        <v>813952</v>
      </c>
      <c r="AL20" s="4">
        <v>915140</v>
      </c>
      <c r="AM20" s="4">
        <v>1016327</v>
      </c>
      <c r="AN20" s="154">
        <v>136498</v>
      </c>
    </row>
    <row r="21" spans="1:40" x14ac:dyDescent="0.2">
      <c r="A21" s="1">
        <v>2019</v>
      </c>
      <c r="B21" s="2" t="s">
        <v>39</v>
      </c>
      <c r="C21" s="2" t="s">
        <v>39</v>
      </c>
      <c r="D21" s="1" t="s">
        <v>398</v>
      </c>
      <c r="E21" s="3">
        <v>8552546</v>
      </c>
      <c r="F21" s="3">
        <v>1609</v>
      </c>
      <c r="G21" s="3">
        <v>33774</v>
      </c>
      <c r="H21" s="1">
        <v>0</v>
      </c>
      <c r="I21" s="3">
        <v>8550937</v>
      </c>
      <c r="J21" s="3">
        <v>8517163</v>
      </c>
      <c r="K21" s="3">
        <v>8517163</v>
      </c>
      <c r="L21" s="3">
        <v>325087</v>
      </c>
      <c r="M21" s="3">
        <v>817056</v>
      </c>
      <c r="N21" s="3">
        <v>107356</v>
      </c>
      <c r="O21" s="3">
        <v>95807</v>
      </c>
      <c r="P21" s="3">
        <v>447632</v>
      </c>
      <c r="Q21" s="3">
        <v>6757999</v>
      </c>
      <c r="R21" s="3">
        <v>6724225</v>
      </c>
      <c r="S21" s="3">
        <v>6724225</v>
      </c>
      <c r="T21" s="3">
        <v>855094</v>
      </c>
      <c r="U21" s="3">
        <v>855094</v>
      </c>
      <c r="V21" s="3">
        <v>855094</v>
      </c>
      <c r="W21" s="3">
        <v>855094</v>
      </c>
      <c r="X21" s="3">
        <v>849465</v>
      </c>
      <c r="Y21" s="3">
        <v>849465</v>
      </c>
      <c r="Z21" s="4">
        <v>849464</v>
      </c>
      <c r="AA21" s="4">
        <v>849464</v>
      </c>
      <c r="AB21" s="4">
        <v>849464</v>
      </c>
      <c r="AC21" s="4">
        <v>849465</v>
      </c>
      <c r="AD21" s="4">
        <v>855094</v>
      </c>
      <c r="AE21" s="4">
        <v>1710188</v>
      </c>
      <c r="AF21" s="4">
        <v>2565282</v>
      </c>
      <c r="AG21" s="4">
        <v>3420376</v>
      </c>
      <c r="AH21" s="4">
        <v>4269841</v>
      </c>
      <c r="AI21" s="4">
        <v>5119306</v>
      </c>
      <c r="AJ21" s="4">
        <v>5968770</v>
      </c>
      <c r="AK21" s="4">
        <v>6818234</v>
      </c>
      <c r="AL21" s="4">
        <v>7667698</v>
      </c>
      <c r="AM21" s="4">
        <v>8517163</v>
      </c>
      <c r="AN21" s="154">
        <v>606744</v>
      </c>
    </row>
    <row r="22" spans="1:40" x14ac:dyDescent="0.2">
      <c r="A22" s="1">
        <v>2019</v>
      </c>
      <c r="B22" s="2" t="s">
        <v>40</v>
      </c>
      <c r="C22" s="2" t="s">
        <v>40</v>
      </c>
      <c r="D22" s="1" t="s">
        <v>399</v>
      </c>
      <c r="E22" s="3">
        <v>2737356</v>
      </c>
      <c r="F22" s="3">
        <v>630</v>
      </c>
      <c r="G22" s="3">
        <v>12267</v>
      </c>
      <c r="H22" s="3">
        <v>35696</v>
      </c>
      <c r="I22" s="3">
        <v>2736726</v>
      </c>
      <c r="J22" s="3">
        <v>2724459</v>
      </c>
      <c r="K22" s="3">
        <v>2688763</v>
      </c>
      <c r="L22" s="3">
        <v>127354</v>
      </c>
      <c r="M22" s="3">
        <v>301752</v>
      </c>
      <c r="N22" s="3">
        <v>30770</v>
      </c>
      <c r="O22" s="3">
        <v>34416</v>
      </c>
      <c r="P22" s="3">
        <v>162346</v>
      </c>
      <c r="Q22" s="3">
        <v>2080088</v>
      </c>
      <c r="R22" s="3">
        <v>2067821</v>
      </c>
      <c r="S22" s="3">
        <v>2032125</v>
      </c>
      <c r="T22" s="3">
        <v>273673</v>
      </c>
      <c r="U22" s="3">
        <v>273673</v>
      </c>
      <c r="V22" s="3">
        <v>273673</v>
      </c>
      <c r="W22" s="3">
        <v>273673</v>
      </c>
      <c r="X22" s="3">
        <v>271628</v>
      </c>
      <c r="Y22" s="3">
        <v>271628</v>
      </c>
      <c r="Z22" s="4">
        <v>262704</v>
      </c>
      <c r="AA22" s="4">
        <v>262704</v>
      </c>
      <c r="AB22" s="4">
        <v>262704</v>
      </c>
      <c r="AC22" s="4">
        <v>262703</v>
      </c>
      <c r="AD22" s="4">
        <v>273673</v>
      </c>
      <c r="AE22" s="4">
        <v>547346</v>
      </c>
      <c r="AF22" s="4">
        <v>821019</v>
      </c>
      <c r="AG22" s="4">
        <v>1094692</v>
      </c>
      <c r="AH22" s="4">
        <v>1366320</v>
      </c>
      <c r="AI22" s="4">
        <v>1637948</v>
      </c>
      <c r="AJ22" s="4">
        <v>1900652</v>
      </c>
      <c r="AK22" s="4">
        <v>2163356</v>
      </c>
      <c r="AL22" s="4">
        <v>2426060</v>
      </c>
      <c r="AM22" s="4">
        <v>2688763</v>
      </c>
      <c r="AN22" s="154">
        <v>207600</v>
      </c>
    </row>
    <row r="23" spans="1:40" x14ac:dyDescent="0.2">
      <c r="A23" s="1">
        <v>2019</v>
      </c>
      <c r="B23" s="2" t="s">
        <v>42</v>
      </c>
      <c r="C23" s="2" t="s">
        <v>42</v>
      </c>
      <c r="D23" s="1" t="s">
        <v>19</v>
      </c>
      <c r="E23" s="3">
        <v>4060263</v>
      </c>
      <c r="F23" s="1">
        <v>498</v>
      </c>
      <c r="G23" s="3">
        <v>19776</v>
      </c>
      <c r="H23" s="1">
        <v>0</v>
      </c>
      <c r="I23" s="3">
        <v>4059765</v>
      </c>
      <c r="J23" s="3">
        <v>4039989</v>
      </c>
      <c r="K23" s="3">
        <v>4039989</v>
      </c>
      <c r="L23" s="3">
        <v>100542</v>
      </c>
      <c r="M23" s="3">
        <v>430835</v>
      </c>
      <c r="N23" s="3">
        <v>48120</v>
      </c>
      <c r="O23" s="3">
        <v>43219</v>
      </c>
      <c r="P23" s="3">
        <v>258490</v>
      </c>
      <c r="Q23" s="3">
        <v>3178559</v>
      </c>
      <c r="R23" s="3">
        <v>3158783</v>
      </c>
      <c r="S23" s="3">
        <v>3158783</v>
      </c>
      <c r="T23" s="3">
        <v>405977</v>
      </c>
      <c r="U23" s="3">
        <v>405977</v>
      </c>
      <c r="V23" s="3">
        <v>405977</v>
      </c>
      <c r="W23" s="3">
        <v>405977</v>
      </c>
      <c r="X23" s="3">
        <v>402680</v>
      </c>
      <c r="Y23" s="3">
        <v>402680</v>
      </c>
      <c r="Z23" s="4">
        <v>402680</v>
      </c>
      <c r="AA23" s="4">
        <v>402680</v>
      </c>
      <c r="AB23" s="4">
        <v>402680</v>
      </c>
      <c r="AC23" s="4">
        <v>402681</v>
      </c>
      <c r="AD23" s="4">
        <v>405977</v>
      </c>
      <c r="AE23" s="4">
        <v>811954</v>
      </c>
      <c r="AF23" s="4">
        <v>1217931</v>
      </c>
      <c r="AG23" s="4">
        <v>1623908</v>
      </c>
      <c r="AH23" s="4">
        <v>2026588</v>
      </c>
      <c r="AI23" s="4">
        <v>2429268</v>
      </c>
      <c r="AJ23" s="4">
        <v>2831948</v>
      </c>
      <c r="AK23" s="4">
        <v>3234628</v>
      </c>
      <c r="AL23" s="4">
        <v>3637308</v>
      </c>
      <c r="AM23" s="4">
        <v>4039989</v>
      </c>
      <c r="AN23" s="154">
        <v>339605</v>
      </c>
    </row>
    <row r="24" spans="1:40" x14ac:dyDescent="0.2">
      <c r="A24" s="1">
        <v>2019</v>
      </c>
      <c r="B24" s="2" t="s">
        <v>43</v>
      </c>
      <c r="C24" s="2" t="s">
        <v>43</v>
      </c>
      <c r="D24" s="1" t="s">
        <v>400</v>
      </c>
      <c r="E24" s="3">
        <v>11306699</v>
      </c>
      <c r="F24" s="3">
        <v>2355</v>
      </c>
      <c r="G24" s="3">
        <v>40446</v>
      </c>
      <c r="H24" s="1">
        <v>0</v>
      </c>
      <c r="I24" s="3">
        <v>11304344</v>
      </c>
      <c r="J24" s="3">
        <v>11263898</v>
      </c>
      <c r="K24" s="3">
        <v>11263898</v>
      </c>
      <c r="L24" s="3">
        <v>475901</v>
      </c>
      <c r="M24" s="3">
        <v>867163</v>
      </c>
      <c r="N24" s="3">
        <v>109150</v>
      </c>
      <c r="O24" s="3">
        <v>92489</v>
      </c>
      <c r="P24" s="3">
        <v>528669</v>
      </c>
      <c r="Q24" s="3">
        <v>9230972</v>
      </c>
      <c r="R24" s="3">
        <v>9190526</v>
      </c>
      <c r="S24" s="3">
        <v>9190526</v>
      </c>
      <c r="T24" s="3">
        <v>1130434</v>
      </c>
      <c r="U24" s="3">
        <v>1130434</v>
      </c>
      <c r="V24" s="3">
        <v>1130434</v>
      </c>
      <c r="W24" s="3">
        <v>1130434</v>
      </c>
      <c r="X24" s="3">
        <v>1123694</v>
      </c>
      <c r="Y24" s="3">
        <v>1123694</v>
      </c>
      <c r="Z24" s="4">
        <v>1123694</v>
      </c>
      <c r="AA24" s="4">
        <v>1123694</v>
      </c>
      <c r="AB24" s="4">
        <v>1123694</v>
      </c>
      <c r="AC24" s="4">
        <v>1123692</v>
      </c>
      <c r="AD24" s="4">
        <v>1130434</v>
      </c>
      <c r="AE24" s="4">
        <v>2260868</v>
      </c>
      <c r="AF24" s="4">
        <v>3391302</v>
      </c>
      <c r="AG24" s="4">
        <v>4521736</v>
      </c>
      <c r="AH24" s="4">
        <v>5645430</v>
      </c>
      <c r="AI24" s="4">
        <v>6769124</v>
      </c>
      <c r="AJ24" s="4">
        <v>7892818</v>
      </c>
      <c r="AK24" s="4">
        <v>9016512</v>
      </c>
      <c r="AL24" s="4">
        <v>10140206</v>
      </c>
      <c r="AM24" s="4">
        <v>11263898</v>
      </c>
      <c r="AN24" s="154">
        <v>689234</v>
      </c>
    </row>
    <row r="25" spans="1:40" x14ac:dyDescent="0.2">
      <c r="A25" s="1">
        <v>2019</v>
      </c>
      <c r="B25" s="2" t="s">
        <v>45</v>
      </c>
      <c r="C25" s="2" t="s">
        <v>45</v>
      </c>
      <c r="D25" s="1" t="s">
        <v>401</v>
      </c>
      <c r="E25" s="3">
        <v>2009220</v>
      </c>
      <c r="F25" s="3">
        <v>564</v>
      </c>
      <c r="G25" s="3">
        <v>7878</v>
      </c>
      <c r="H25" s="3">
        <v>26023</v>
      </c>
      <c r="I25" s="3">
        <v>2008656</v>
      </c>
      <c r="J25" s="3">
        <v>2000778</v>
      </c>
      <c r="K25" s="3">
        <v>1974755</v>
      </c>
      <c r="L25" s="3">
        <v>113948</v>
      </c>
      <c r="M25" s="3">
        <v>201604</v>
      </c>
      <c r="N25" s="3">
        <v>21625</v>
      </c>
      <c r="O25" s="3">
        <v>20172</v>
      </c>
      <c r="P25" s="3">
        <v>106291</v>
      </c>
      <c r="Q25" s="3">
        <v>1545016</v>
      </c>
      <c r="R25" s="3">
        <v>1537138</v>
      </c>
      <c r="S25" s="3">
        <v>1511115</v>
      </c>
      <c r="T25" s="3">
        <v>200866</v>
      </c>
      <c r="U25" s="3">
        <v>200866</v>
      </c>
      <c r="V25" s="3">
        <v>200866</v>
      </c>
      <c r="W25" s="3">
        <v>200866</v>
      </c>
      <c r="X25" s="3">
        <v>199552</v>
      </c>
      <c r="Y25" s="3">
        <v>199552</v>
      </c>
      <c r="Z25" s="4">
        <v>193047</v>
      </c>
      <c r="AA25" s="4">
        <v>193047</v>
      </c>
      <c r="AB25" s="4">
        <v>193047</v>
      </c>
      <c r="AC25" s="4">
        <v>193046</v>
      </c>
      <c r="AD25" s="4">
        <v>200866</v>
      </c>
      <c r="AE25" s="4">
        <v>401732</v>
      </c>
      <c r="AF25" s="4">
        <v>602598</v>
      </c>
      <c r="AG25" s="4">
        <v>803464</v>
      </c>
      <c r="AH25" s="4">
        <v>1003016</v>
      </c>
      <c r="AI25" s="4">
        <v>1202568</v>
      </c>
      <c r="AJ25" s="4">
        <v>1395615</v>
      </c>
      <c r="AK25" s="4">
        <v>1588662</v>
      </c>
      <c r="AL25" s="4">
        <v>1781709</v>
      </c>
      <c r="AM25" s="4">
        <v>1974755</v>
      </c>
      <c r="AN25" s="154">
        <v>141846</v>
      </c>
    </row>
    <row r="26" spans="1:40" x14ac:dyDescent="0.2">
      <c r="A26" s="1">
        <v>2019</v>
      </c>
      <c r="B26" s="2" t="s">
        <v>46</v>
      </c>
      <c r="C26" s="2" t="s">
        <v>46</v>
      </c>
      <c r="D26" s="1" t="s">
        <v>1</v>
      </c>
      <c r="E26" s="3">
        <v>2912835</v>
      </c>
      <c r="F26" s="1">
        <v>381</v>
      </c>
      <c r="G26" s="3">
        <v>13271</v>
      </c>
      <c r="H26" s="1">
        <v>0</v>
      </c>
      <c r="I26" s="3">
        <v>2912454</v>
      </c>
      <c r="J26" s="3">
        <v>2899183</v>
      </c>
      <c r="K26" s="3">
        <v>2899183</v>
      </c>
      <c r="L26" s="3">
        <v>77083</v>
      </c>
      <c r="M26" s="3">
        <v>323937</v>
      </c>
      <c r="N26" s="3">
        <v>34224</v>
      </c>
      <c r="O26" s="3">
        <v>35951</v>
      </c>
      <c r="P26" s="3">
        <v>179544</v>
      </c>
      <c r="Q26" s="3">
        <v>2261715</v>
      </c>
      <c r="R26" s="3">
        <v>2248444</v>
      </c>
      <c r="S26" s="3">
        <v>2248444</v>
      </c>
      <c r="T26" s="3">
        <v>291245</v>
      </c>
      <c r="U26" s="3">
        <v>291245</v>
      </c>
      <c r="V26" s="3">
        <v>291245</v>
      </c>
      <c r="W26" s="3">
        <v>291245</v>
      </c>
      <c r="X26" s="3">
        <v>289034</v>
      </c>
      <c r="Y26" s="3">
        <v>289034</v>
      </c>
      <c r="Z26" s="4">
        <v>289034</v>
      </c>
      <c r="AA26" s="4">
        <v>289034</v>
      </c>
      <c r="AB26" s="4">
        <v>289034</v>
      </c>
      <c r="AC26" s="4">
        <v>289033</v>
      </c>
      <c r="AD26" s="4">
        <v>291245</v>
      </c>
      <c r="AE26" s="4">
        <v>582490</v>
      </c>
      <c r="AF26" s="4">
        <v>873735</v>
      </c>
      <c r="AG26" s="4">
        <v>1164980</v>
      </c>
      <c r="AH26" s="4">
        <v>1454014</v>
      </c>
      <c r="AI26" s="4">
        <v>1743048</v>
      </c>
      <c r="AJ26" s="4">
        <v>2032082</v>
      </c>
      <c r="AK26" s="4">
        <v>2321116</v>
      </c>
      <c r="AL26" s="4">
        <v>2610150</v>
      </c>
      <c r="AM26" s="4">
        <v>2899183</v>
      </c>
      <c r="AN26" s="154">
        <v>244963</v>
      </c>
    </row>
    <row r="27" spans="1:40" x14ac:dyDescent="0.2">
      <c r="A27" s="1">
        <v>2019</v>
      </c>
      <c r="B27" s="2" t="s">
        <v>47</v>
      </c>
      <c r="C27" s="2" t="s">
        <v>47</v>
      </c>
      <c r="D27" s="1" t="s">
        <v>402</v>
      </c>
      <c r="E27" s="3">
        <v>2473582</v>
      </c>
      <c r="F27" s="1">
        <v>614</v>
      </c>
      <c r="G27" s="3">
        <v>11243</v>
      </c>
      <c r="H27" s="1">
        <v>0</v>
      </c>
      <c r="I27" s="3">
        <v>2472968</v>
      </c>
      <c r="J27" s="3">
        <v>2461725</v>
      </c>
      <c r="K27" s="3">
        <v>2461725</v>
      </c>
      <c r="L27" s="3">
        <v>124002</v>
      </c>
      <c r="M27" s="3">
        <v>279890</v>
      </c>
      <c r="N27" s="3">
        <v>32592</v>
      </c>
      <c r="O27" s="3">
        <v>29648</v>
      </c>
      <c r="P27" s="3">
        <v>146958</v>
      </c>
      <c r="Q27" s="3">
        <v>1859878</v>
      </c>
      <c r="R27" s="3">
        <v>1848635</v>
      </c>
      <c r="S27" s="3">
        <v>1848635</v>
      </c>
      <c r="T27" s="3">
        <v>247297</v>
      </c>
      <c r="U27" s="3">
        <v>247297</v>
      </c>
      <c r="V27" s="3">
        <v>247297</v>
      </c>
      <c r="W27" s="3">
        <v>247297</v>
      </c>
      <c r="X27" s="3">
        <v>245423</v>
      </c>
      <c r="Y27" s="3">
        <v>245423</v>
      </c>
      <c r="Z27" s="4">
        <v>245423</v>
      </c>
      <c r="AA27" s="4">
        <v>245423</v>
      </c>
      <c r="AB27" s="4">
        <v>245423</v>
      </c>
      <c r="AC27" s="4">
        <v>245422</v>
      </c>
      <c r="AD27" s="4">
        <v>247297</v>
      </c>
      <c r="AE27" s="4">
        <v>494594</v>
      </c>
      <c r="AF27" s="4">
        <v>741891</v>
      </c>
      <c r="AG27" s="4">
        <v>989188</v>
      </c>
      <c r="AH27" s="4">
        <v>1234611</v>
      </c>
      <c r="AI27" s="4">
        <v>1480034</v>
      </c>
      <c r="AJ27" s="4">
        <v>1725457</v>
      </c>
      <c r="AK27" s="4">
        <v>1970880</v>
      </c>
      <c r="AL27" s="4">
        <v>2216303</v>
      </c>
      <c r="AM27" s="4">
        <v>2461725</v>
      </c>
      <c r="AN27" s="154">
        <v>198953</v>
      </c>
    </row>
    <row r="28" spans="1:40" x14ac:dyDescent="0.2">
      <c r="A28" s="1">
        <v>2019</v>
      </c>
      <c r="B28" s="2" t="s">
        <v>48</v>
      </c>
      <c r="C28" s="2" t="s">
        <v>48</v>
      </c>
      <c r="D28" s="1" t="s">
        <v>403</v>
      </c>
      <c r="E28" s="3">
        <v>3240194</v>
      </c>
      <c r="F28" s="1">
        <v>365</v>
      </c>
      <c r="G28" s="3">
        <v>13309</v>
      </c>
      <c r="H28" s="1">
        <v>0</v>
      </c>
      <c r="I28" s="3">
        <v>3239829</v>
      </c>
      <c r="J28" s="3">
        <v>3226520</v>
      </c>
      <c r="K28" s="3">
        <v>3226520</v>
      </c>
      <c r="L28" s="3">
        <v>73731</v>
      </c>
      <c r="M28" s="3">
        <v>304255</v>
      </c>
      <c r="N28" s="3">
        <v>30631</v>
      </c>
      <c r="O28" s="3">
        <v>30215</v>
      </c>
      <c r="P28" s="3">
        <v>173959</v>
      </c>
      <c r="Q28" s="3">
        <v>2627038</v>
      </c>
      <c r="R28" s="3">
        <v>2613729</v>
      </c>
      <c r="S28" s="3">
        <v>2613729</v>
      </c>
      <c r="T28" s="3">
        <v>323983</v>
      </c>
      <c r="U28" s="3">
        <v>323983</v>
      </c>
      <c r="V28" s="3">
        <v>323983</v>
      </c>
      <c r="W28" s="3">
        <v>323983</v>
      </c>
      <c r="X28" s="3">
        <v>321765</v>
      </c>
      <c r="Y28" s="3">
        <v>321765</v>
      </c>
      <c r="Z28" s="4">
        <v>321765</v>
      </c>
      <c r="AA28" s="4">
        <v>321765</v>
      </c>
      <c r="AB28" s="4">
        <v>321765</v>
      </c>
      <c r="AC28" s="4">
        <v>321763</v>
      </c>
      <c r="AD28" s="4">
        <v>323983</v>
      </c>
      <c r="AE28" s="4">
        <v>647966</v>
      </c>
      <c r="AF28" s="4">
        <v>971949</v>
      </c>
      <c r="AG28" s="4">
        <v>1295932</v>
      </c>
      <c r="AH28" s="4">
        <v>1617697</v>
      </c>
      <c r="AI28" s="4">
        <v>1939462</v>
      </c>
      <c r="AJ28" s="4">
        <v>2261227</v>
      </c>
      <c r="AK28" s="4">
        <v>2582992</v>
      </c>
      <c r="AL28" s="4">
        <v>2904757</v>
      </c>
      <c r="AM28" s="4">
        <v>3226520</v>
      </c>
      <c r="AN28" s="154">
        <v>219669</v>
      </c>
    </row>
    <row r="29" spans="1:40" x14ac:dyDescent="0.2">
      <c r="A29" s="1">
        <v>2019</v>
      </c>
      <c r="B29" s="2" t="s">
        <v>49</v>
      </c>
      <c r="C29" s="2" t="s">
        <v>49</v>
      </c>
      <c r="D29" s="1" t="s">
        <v>404</v>
      </c>
      <c r="E29" s="3">
        <v>3118850</v>
      </c>
      <c r="F29" s="1">
        <v>862</v>
      </c>
      <c r="G29" s="3">
        <v>14518</v>
      </c>
      <c r="H29" s="1">
        <v>0</v>
      </c>
      <c r="I29" s="3">
        <v>3117988</v>
      </c>
      <c r="J29" s="3">
        <v>3103470</v>
      </c>
      <c r="K29" s="3">
        <v>3103470</v>
      </c>
      <c r="L29" s="3">
        <v>174274</v>
      </c>
      <c r="M29" s="3">
        <v>349650</v>
      </c>
      <c r="N29" s="3">
        <v>35488</v>
      </c>
      <c r="O29" s="3">
        <v>38528</v>
      </c>
      <c r="P29" s="3">
        <v>189762</v>
      </c>
      <c r="Q29" s="3">
        <v>2330286</v>
      </c>
      <c r="R29" s="3">
        <v>2315768</v>
      </c>
      <c r="S29" s="3">
        <v>2315768</v>
      </c>
      <c r="T29" s="3">
        <v>311799</v>
      </c>
      <c r="U29" s="3">
        <v>311799</v>
      </c>
      <c r="V29" s="3">
        <v>311799</v>
      </c>
      <c r="W29" s="3">
        <v>311799</v>
      </c>
      <c r="X29" s="3">
        <v>309379</v>
      </c>
      <c r="Y29" s="3">
        <v>309379</v>
      </c>
      <c r="Z29" s="4">
        <v>309379</v>
      </c>
      <c r="AA29" s="4">
        <v>309379</v>
      </c>
      <c r="AB29" s="4">
        <v>309379</v>
      </c>
      <c r="AC29" s="4">
        <v>309379</v>
      </c>
      <c r="AD29" s="4">
        <v>311799</v>
      </c>
      <c r="AE29" s="4">
        <v>623598</v>
      </c>
      <c r="AF29" s="4">
        <v>935397</v>
      </c>
      <c r="AG29" s="4">
        <v>1247196</v>
      </c>
      <c r="AH29" s="4">
        <v>1556575</v>
      </c>
      <c r="AI29" s="4">
        <v>1865954</v>
      </c>
      <c r="AJ29" s="4">
        <v>2175333</v>
      </c>
      <c r="AK29" s="4">
        <v>2484712</v>
      </c>
      <c r="AL29" s="4">
        <v>2794091</v>
      </c>
      <c r="AM29" s="4">
        <v>3103470</v>
      </c>
      <c r="AN29" s="154">
        <v>263904</v>
      </c>
    </row>
    <row r="30" spans="1:40" x14ac:dyDescent="0.2">
      <c r="A30" s="1">
        <v>2019</v>
      </c>
      <c r="B30" s="2" t="s">
        <v>50</v>
      </c>
      <c r="C30" s="2" t="s">
        <v>50</v>
      </c>
      <c r="D30" s="1" t="s">
        <v>405</v>
      </c>
      <c r="E30" s="3">
        <v>4687032</v>
      </c>
      <c r="F30" s="3">
        <v>564</v>
      </c>
      <c r="G30" s="3">
        <v>19923</v>
      </c>
      <c r="H30" s="1">
        <v>0</v>
      </c>
      <c r="I30" s="3">
        <v>4686468</v>
      </c>
      <c r="J30" s="3">
        <v>4666545</v>
      </c>
      <c r="K30" s="3">
        <v>4666545</v>
      </c>
      <c r="L30" s="3">
        <v>113948</v>
      </c>
      <c r="M30" s="3">
        <v>460997</v>
      </c>
      <c r="N30" s="3">
        <v>57455</v>
      </c>
      <c r="O30" s="3">
        <v>49089</v>
      </c>
      <c r="P30" s="3">
        <v>262560</v>
      </c>
      <c r="Q30" s="3">
        <v>3742419</v>
      </c>
      <c r="R30" s="3">
        <v>3722496</v>
      </c>
      <c r="S30" s="3">
        <v>3722496</v>
      </c>
      <c r="T30" s="3">
        <v>468647</v>
      </c>
      <c r="U30" s="3">
        <v>468647</v>
      </c>
      <c r="V30" s="3">
        <v>468647</v>
      </c>
      <c r="W30" s="3">
        <v>468647</v>
      </c>
      <c r="X30" s="3">
        <v>465326</v>
      </c>
      <c r="Y30" s="3">
        <v>465326</v>
      </c>
      <c r="Z30" s="4">
        <v>465326</v>
      </c>
      <c r="AA30" s="4">
        <v>465326</v>
      </c>
      <c r="AB30" s="4">
        <v>465326</v>
      </c>
      <c r="AC30" s="4">
        <v>465327</v>
      </c>
      <c r="AD30" s="4">
        <v>468647</v>
      </c>
      <c r="AE30" s="4">
        <v>937294</v>
      </c>
      <c r="AF30" s="4">
        <v>1405941</v>
      </c>
      <c r="AG30" s="4">
        <v>1874588</v>
      </c>
      <c r="AH30" s="4">
        <v>2339914</v>
      </c>
      <c r="AI30" s="4">
        <v>2805240</v>
      </c>
      <c r="AJ30" s="4">
        <v>3270566</v>
      </c>
      <c r="AK30" s="4">
        <v>3735892</v>
      </c>
      <c r="AL30" s="4">
        <v>4201218</v>
      </c>
      <c r="AM30" s="4">
        <v>4666545</v>
      </c>
      <c r="AN30" s="154">
        <v>362934</v>
      </c>
    </row>
    <row r="31" spans="1:40" x14ac:dyDescent="0.2">
      <c r="A31" s="1">
        <v>2019</v>
      </c>
      <c r="B31" s="2" t="s">
        <v>51</v>
      </c>
      <c r="C31" s="2" t="s">
        <v>51</v>
      </c>
      <c r="D31" s="1" t="s">
        <v>406</v>
      </c>
      <c r="E31" s="3">
        <v>947053</v>
      </c>
      <c r="F31" s="3">
        <v>149</v>
      </c>
      <c r="G31" s="3">
        <v>4674</v>
      </c>
      <c r="H31" s="3">
        <v>17109</v>
      </c>
      <c r="I31" s="3">
        <v>946904</v>
      </c>
      <c r="J31" s="3">
        <v>942230</v>
      </c>
      <c r="K31" s="3">
        <v>925121</v>
      </c>
      <c r="L31" s="3">
        <v>30163</v>
      </c>
      <c r="M31" s="3">
        <v>101717</v>
      </c>
      <c r="N31" s="3">
        <v>12364</v>
      </c>
      <c r="O31" s="3">
        <v>7417</v>
      </c>
      <c r="P31" s="3">
        <v>61088</v>
      </c>
      <c r="Q31" s="3">
        <v>734155</v>
      </c>
      <c r="R31" s="3">
        <v>729481</v>
      </c>
      <c r="S31" s="3">
        <v>712372</v>
      </c>
      <c r="T31" s="3">
        <v>94690</v>
      </c>
      <c r="U31" s="3">
        <v>94690</v>
      </c>
      <c r="V31" s="3">
        <v>94690</v>
      </c>
      <c r="W31" s="3">
        <v>94690</v>
      </c>
      <c r="X31" s="3">
        <v>93912</v>
      </c>
      <c r="Y31" s="3">
        <v>93912</v>
      </c>
      <c r="Z31" s="4">
        <v>89634</v>
      </c>
      <c r="AA31" s="4">
        <v>89634</v>
      </c>
      <c r="AB31" s="4">
        <v>89634</v>
      </c>
      <c r="AC31" s="4">
        <v>89635</v>
      </c>
      <c r="AD31" s="4">
        <v>94690</v>
      </c>
      <c r="AE31" s="4">
        <v>189380</v>
      </c>
      <c r="AF31" s="4">
        <v>284070</v>
      </c>
      <c r="AG31" s="4">
        <v>378760</v>
      </c>
      <c r="AH31" s="4">
        <v>472672</v>
      </c>
      <c r="AI31" s="4">
        <v>566584</v>
      </c>
      <c r="AJ31" s="4">
        <v>656218</v>
      </c>
      <c r="AK31" s="4">
        <v>745852</v>
      </c>
      <c r="AL31" s="4">
        <v>835486</v>
      </c>
      <c r="AM31" s="4">
        <v>925121</v>
      </c>
      <c r="AN31" s="154">
        <v>78846</v>
      </c>
    </row>
    <row r="32" spans="1:40" x14ac:dyDescent="0.2">
      <c r="A32" s="1">
        <v>2019</v>
      </c>
      <c r="B32" s="2" t="s">
        <v>52</v>
      </c>
      <c r="C32" s="2" t="s">
        <v>52</v>
      </c>
      <c r="D32" s="1" t="s">
        <v>407</v>
      </c>
      <c r="E32" s="3">
        <v>7990154</v>
      </c>
      <c r="F32" s="3">
        <v>1559</v>
      </c>
      <c r="G32" s="3">
        <v>37136</v>
      </c>
      <c r="H32" s="1">
        <v>0</v>
      </c>
      <c r="I32" s="3">
        <v>7988595</v>
      </c>
      <c r="J32" s="3">
        <v>7951459</v>
      </c>
      <c r="K32" s="3">
        <v>7951459</v>
      </c>
      <c r="L32" s="3">
        <v>315033</v>
      </c>
      <c r="M32" s="3">
        <v>857998</v>
      </c>
      <c r="N32" s="3">
        <v>88116</v>
      </c>
      <c r="O32" s="3">
        <v>94342</v>
      </c>
      <c r="P32" s="3">
        <v>489689</v>
      </c>
      <c r="Q32" s="3">
        <v>6143417</v>
      </c>
      <c r="R32" s="3">
        <v>6106281</v>
      </c>
      <c r="S32" s="3">
        <v>6106281</v>
      </c>
      <c r="T32" s="3">
        <v>798860</v>
      </c>
      <c r="U32" s="3">
        <v>798860</v>
      </c>
      <c r="V32" s="3">
        <v>798860</v>
      </c>
      <c r="W32" s="3">
        <v>798860</v>
      </c>
      <c r="X32" s="3">
        <v>792670</v>
      </c>
      <c r="Y32" s="3">
        <v>792670</v>
      </c>
      <c r="Z32" s="4">
        <v>792670</v>
      </c>
      <c r="AA32" s="4">
        <v>792670</v>
      </c>
      <c r="AB32" s="4">
        <v>792670</v>
      </c>
      <c r="AC32" s="4">
        <v>792669</v>
      </c>
      <c r="AD32" s="4">
        <v>798860</v>
      </c>
      <c r="AE32" s="4">
        <v>1597720</v>
      </c>
      <c r="AF32" s="4">
        <v>2396580</v>
      </c>
      <c r="AG32" s="4">
        <v>3195440</v>
      </c>
      <c r="AH32" s="4">
        <v>3988110</v>
      </c>
      <c r="AI32" s="4">
        <v>4780780</v>
      </c>
      <c r="AJ32" s="4">
        <v>5573450</v>
      </c>
      <c r="AK32" s="4">
        <v>6366120</v>
      </c>
      <c r="AL32" s="4">
        <v>7158790</v>
      </c>
      <c r="AM32" s="4">
        <v>7951459</v>
      </c>
      <c r="AN32" s="154">
        <v>647685</v>
      </c>
    </row>
    <row r="33" spans="1:40" x14ac:dyDescent="0.2">
      <c r="A33" s="1">
        <v>2019</v>
      </c>
      <c r="B33" s="2" t="s">
        <v>53</v>
      </c>
      <c r="C33" s="2" t="s">
        <v>53</v>
      </c>
      <c r="D33" s="1" t="s">
        <v>408</v>
      </c>
      <c r="E33" s="3">
        <v>23779985</v>
      </c>
      <c r="F33" s="3">
        <v>4528</v>
      </c>
      <c r="G33" s="3">
        <v>102413</v>
      </c>
      <c r="H33" s="1">
        <v>0</v>
      </c>
      <c r="I33" s="3">
        <v>23775457</v>
      </c>
      <c r="J33" s="3">
        <v>23673044</v>
      </c>
      <c r="K33" s="3">
        <v>23673044</v>
      </c>
      <c r="L33" s="3">
        <v>914936</v>
      </c>
      <c r="M33" s="3">
        <v>2313589</v>
      </c>
      <c r="N33" s="3">
        <v>265926</v>
      </c>
      <c r="O33" s="3">
        <v>264819</v>
      </c>
      <c r="P33" s="3">
        <v>1338650</v>
      </c>
      <c r="Q33" s="3">
        <v>18677537</v>
      </c>
      <c r="R33" s="3">
        <v>18575124</v>
      </c>
      <c r="S33" s="3">
        <v>18575124</v>
      </c>
      <c r="T33" s="3">
        <v>2377546</v>
      </c>
      <c r="U33" s="3">
        <v>2377546</v>
      </c>
      <c r="V33" s="3">
        <v>2377546</v>
      </c>
      <c r="W33" s="3">
        <v>2377546</v>
      </c>
      <c r="X33" s="3">
        <v>2360477</v>
      </c>
      <c r="Y33" s="3">
        <v>2360477</v>
      </c>
      <c r="Z33" s="4">
        <v>2360477</v>
      </c>
      <c r="AA33" s="4">
        <v>2360477</v>
      </c>
      <c r="AB33" s="4">
        <v>2360477</v>
      </c>
      <c r="AC33" s="4">
        <v>2360475</v>
      </c>
      <c r="AD33" s="4">
        <v>2377546</v>
      </c>
      <c r="AE33" s="4">
        <v>4755092</v>
      </c>
      <c r="AF33" s="4">
        <v>7132638</v>
      </c>
      <c r="AG33" s="4">
        <v>9510184</v>
      </c>
      <c r="AH33" s="4">
        <v>11870661</v>
      </c>
      <c r="AI33" s="4">
        <v>14231138</v>
      </c>
      <c r="AJ33" s="4">
        <v>16591615</v>
      </c>
      <c r="AK33" s="4">
        <v>18952092</v>
      </c>
      <c r="AL33" s="4">
        <v>21312569</v>
      </c>
      <c r="AM33" s="4">
        <v>23673044</v>
      </c>
      <c r="AN33" s="154">
        <v>1810173</v>
      </c>
    </row>
    <row r="34" spans="1:40" x14ac:dyDescent="0.2">
      <c r="A34" s="1">
        <v>2019</v>
      </c>
      <c r="B34" s="2" t="s">
        <v>54</v>
      </c>
      <c r="C34" s="2" t="s">
        <v>54</v>
      </c>
      <c r="D34" s="1" t="s">
        <v>409</v>
      </c>
      <c r="E34" s="3">
        <v>4344468</v>
      </c>
      <c r="F34" s="3">
        <v>1111</v>
      </c>
      <c r="G34" s="3">
        <v>21879</v>
      </c>
      <c r="H34" s="1">
        <v>0</v>
      </c>
      <c r="I34" s="3">
        <v>4343357</v>
      </c>
      <c r="J34" s="3">
        <v>4321478</v>
      </c>
      <c r="K34" s="3">
        <v>4321478</v>
      </c>
      <c r="L34" s="3">
        <v>224545</v>
      </c>
      <c r="M34" s="3">
        <v>521914</v>
      </c>
      <c r="N34" s="3">
        <v>67342</v>
      </c>
      <c r="O34" s="3">
        <v>55174</v>
      </c>
      <c r="P34" s="3">
        <v>286708</v>
      </c>
      <c r="Q34" s="3">
        <v>3187674</v>
      </c>
      <c r="R34" s="3">
        <v>3165795</v>
      </c>
      <c r="S34" s="3">
        <v>3165795</v>
      </c>
      <c r="T34" s="3">
        <v>434336</v>
      </c>
      <c r="U34" s="3">
        <v>434336</v>
      </c>
      <c r="V34" s="3">
        <v>434336</v>
      </c>
      <c r="W34" s="3">
        <v>434336</v>
      </c>
      <c r="X34" s="3">
        <v>430689</v>
      </c>
      <c r="Y34" s="3">
        <v>430689</v>
      </c>
      <c r="Z34" s="4">
        <v>430689</v>
      </c>
      <c r="AA34" s="4">
        <v>430689</v>
      </c>
      <c r="AB34" s="4">
        <v>430689</v>
      </c>
      <c r="AC34" s="4">
        <v>430689</v>
      </c>
      <c r="AD34" s="4">
        <v>434336</v>
      </c>
      <c r="AE34" s="4">
        <v>868672</v>
      </c>
      <c r="AF34" s="4">
        <v>1303008</v>
      </c>
      <c r="AG34" s="4">
        <v>1737344</v>
      </c>
      <c r="AH34" s="4">
        <v>2168033</v>
      </c>
      <c r="AI34" s="4">
        <v>2598722</v>
      </c>
      <c r="AJ34" s="4">
        <v>3029411</v>
      </c>
      <c r="AK34" s="4">
        <v>3460100</v>
      </c>
      <c r="AL34" s="4">
        <v>3890789</v>
      </c>
      <c r="AM34" s="4">
        <v>4321478</v>
      </c>
      <c r="AN34" s="154">
        <v>383338</v>
      </c>
    </row>
    <row r="35" spans="1:40" x14ac:dyDescent="0.2">
      <c r="A35" s="1">
        <v>2019</v>
      </c>
      <c r="B35" s="2" t="s">
        <v>55</v>
      </c>
      <c r="C35" s="2" t="s">
        <v>55</v>
      </c>
      <c r="D35" s="1" t="s">
        <v>410</v>
      </c>
      <c r="E35" s="3">
        <v>13626926</v>
      </c>
      <c r="F35" s="3">
        <v>1211</v>
      </c>
      <c r="G35" s="3">
        <v>49693</v>
      </c>
      <c r="H35" s="1">
        <v>0</v>
      </c>
      <c r="I35" s="3">
        <v>13625715</v>
      </c>
      <c r="J35" s="3">
        <v>13576022</v>
      </c>
      <c r="K35" s="3">
        <v>13576022</v>
      </c>
      <c r="L35" s="3">
        <v>244653</v>
      </c>
      <c r="M35" s="3">
        <v>1097273</v>
      </c>
      <c r="N35" s="3">
        <v>133091</v>
      </c>
      <c r="O35" s="3">
        <v>113595</v>
      </c>
      <c r="P35" s="3">
        <v>649539</v>
      </c>
      <c r="Q35" s="3">
        <v>11387564</v>
      </c>
      <c r="R35" s="3">
        <v>11337871</v>
      </c>
      <c r="S35" s="3">
        <v>11337871</v>
      </c>
      <c r="T35" s="3">
        <v>1362572</v>
      </c>
      <c r="U35" s="3">
        <v>1362572</v>
      </c>
      <c r="V35" s="3">
        <v>1362572</v>
      </c>
      <c r="W35" s="3">
        <v>1362572</v>
      </c>
      <c r="X35" s="3">
        <v>1354289</v>
      </c>
      <c r="Y35" s="3">
        <v>1354289</v>
      </c>
      <c r="Z35" s="4">
        <v>1354289</v>
      </c>
      <c r="AA35" s="4">
        <v>1354289</v>
      </c>
      <c r="AB35" s="4">
        <v>1354289</v>
      </c>
      <c r="AC35" s="4">
        <v>1354289</v>
      </c>
      <c r="AD35" s="4">
        <v>1362572</v>
      </c>
      <c r="AE35" s="4">
        <v>2725144</v>
      </c>
      <c r="AF35" s="4">
        <v>4087716</v>
      </c>
      <c r="AG35" s="4">
        <v>5450288</v>
      </c>
      <c r="AH35" s="4">
        <v>6804577</v>
      </c>
      <c r="AI35" s="4">
        <v>8158866</v>
      </c>
      <c r="AJ35" s="4">
        <v>9513155</v>
      </c>
      <c r="AK35" s="4">
        <v>10867444</v>
      </c>
      <c r="AL35" s="4">
        <v>12221733</v>
      </c>
      <c r="AM35" s="4">
        <v>13576022</v>
      </c>
      <c r="AN35" s="154">
        <v>886249</v>
      </c>
    </row>
    <row r="36" spans="1:40" x14ac:dyDescent="0.2">
      <c r="A36" s="1">
        <v>2019</v>
      </c>
      <c r="B36" s="2" t="s">
        <v>56</v>
      </c>
      <c r="C36" s="2" t="s">
        <v>56</v>
      </c>
      <c r="D36" s="1" t="s">
        <v>411</v>
      </c>
      <c r="E36" s="3">
        <v>14037108</v>
      </c>
      <c r="F36" s="3">
        <v>1924</v>
      </c>
      <c r="G36" s="3">
        <v>51292</v>
      </c>
      <c r="H36" s="1">
        <v>0</v>
      </c>
      <c r="I36" s="3">
        <v>14035184</v>
      </c>
      <c r="J36" s="3">
        <v>13983892</v>
      </c>
      <c r="K36" s="3">
        <v>13983892</v>
      </c>
      <c r="L36" s="3">
        <v>388764</v>
      </c>
      <c r="M36" s="3">
        <v>1209781</v>
      </c>
      <c r="N36" s="3">
        <v>138379</v>
      </c>
      <c r="O36" s="3">
        <v>150802</v>
      </c>
      <c r="P36" s="3">
        <v>670435</v>
      </c>
      <c r="Q36" s="3">
        <v>11477023</v>
      </c>
      <c r="R36" s="3">
        <v>11425731</v>
      </c>
      <c r="S36" s="3">
        <v>11425731</v>
      </c>
      <c r="T36" s="3">
        <v>1403518</v>
      </c>
      <c r="U36" s="3">
        <v>1403518</v>
      </c>
      <c r="V36" s="3">
        <v>1403518</v>
      </c>
      <c r="W36" s="3">
        <v>1403518</v>
      </c>
      <c r="X36" s="3">
        <v>1394970</v>
      </c>
      <c r="Y36" s="3">
        <v>1394970</v>
      </c>
      <c r="Z36" s="4">
        <v>1394970</v>
      </c>
      <c r="AA36" s="4">
        <v>1394970</v>
      </c>
      <c r="AB36" s="4">
        <v>1394970</v>
      </c>
      <c r="AC36" s="4">
        <v>1394970</v>
      </c>
      <c r="AD36" s="4">
        <v>1403518</v>
      </c>
      <c r="AE36" s="4">
        <v>2807036</v>
      </c>
      <c r="AF36" s="4">
        <v>4210554</v>
      </c>
      <c r="AG36" s="4">
        <v>5614072</v>
      </c>
      <c r="AH36" s="4">
        <v>7009042</v>
      </c>
      <c r="AI36" s="4">
        <v>8404012</v>
      </c>
      <c r="AJ36" s="4">
        <v>9798982</v>
      </c>
      <c r="AK36" s="4">
        <v>11193952</v>
      </c>
      <c r="AL36" s="4">
        <v>12588922</v>
      </c>
      <c r="AM36" s="4">
        <v>13983892</v>
      </c>
      <c r="AN36" s="154">
        <v>901516</v>
      </c>
    </row>
    <row r="37" spans="1:40" x14ac:dyDescent="0.2">
      <c r="A37" s="1">
        <v>2019</v>
      </c>
      <c r="B37" s="2" t="s">
        <v>57</v>
      </c>
      <c r="C37" s="2" t="s">
        <v>57</v>
      </c>
      <c r="D37" s="1" t="s">
        <v>412</v>
      </c>
      <c r="E37" s="3">
        <v>3421079</v>
      </c>
      <c r="F37" s="3">
        <v>912</v>
      </c>
      <c r="G37" s="3">
        <v>14892</v>
      </c>
      <c r="H37" s="1">
        <v>0</v>
      </c>
      <c r="I37" s="3">
        <v>3420167</v>
      </c>
      <c r="J37" s="3">
        <v>3405275</v>
      </c>
      <c r="K37" s="3">
        <v>3405275</v>
      </c>
      <c r="L37" s="3">
        <v>184328</v>
      </c>
      <c r="M37" s="3">
        <v>343278</v>
      </c>
      <c r="N37" s="3">
        <v>45925</v>
      </c>
      <c r="O37" s="3">
        <v>37635</v>
      </c>
      <c r="P37" s="3">
        <v>195190</v>
      </c>
      <c r="Q37" s="3">
        <v>2613811</v>
      </c>
      <c r="R37" s="3">
        <v>2598919</v>
      </c>
      <c r="S37" s="3">
        <v>2598919</v>
      </c>
      <c r="T37" s="3">
        <v>342017</v>
      </c>
      <c r="U37" s="3">
        <v>342017</v>
      </c>
      <c r="V37" s="3">
        <v>342017</v>
      </c>
      <c r="W37" s="3">
        <v>342017</v>
      </c>
      <c r="X37" s="3">
        <v>339535</v>
      </c>
      <c r="Y37" s="3">
        <v>339535</v>
      </c>
      <c r="Z37" s="4">
        <v>339534</v>
      </c>
      <c r="AA37" s="4">
        <v>339534</v>
      </c>
      <c r="AB37" s="4">
        <v>339534</v>
      </c>
      <c r="AC37" s="4">
        <v>339535</v>
      </c>
      <c r="AD37" s="4">
        <v>342017</v>
      </c>
      <c r="AE37" s="4">
        <v>684034</v>
      </c>
      <c r="AF37" s="4">
        <v>1026051</v>
      </c>
      <c r="AG37" s="4">
        <v>1368068</v>
      </c>
      <c r="AH37" s="4">
        <v>1707603</v>
      </c>
      <c r="AI37" s="4">
        <v>2047138</v>
      </c>
      <c r="AJ37" s="4">
        <v>2386672</v>
      </c>
      <c r="AK37" s="4">
        <v>2726206</v>
      </c>
      <c r="AL37" s="4">
        <v>3065740</v>
      </c>
      <c r="AM37" s="4">
        <v>3405275</v>
      </c>
      <c r="AN37" s="154">
        <v>307687</v>
      </c>
    </row>
    <row r="38" spans="1:40" x14ac:dyDescent="0.2">
      <c r="A38" s="1">
        <v>2019</v>
      </c>
      <c r="B38" s="2" t="s">
        <v>58</v>
      </c>
      <c r="C38" s="2" t="s">
        <v>58</v>
      </c>
      <c r="D38" s="1" t="s">
        <v>413</v>
      </c>
      <c r="E38" s="3">
        <v>2642640</v>
      </c>
      <c r="F38" s="3">
        <v>580</v>
      </c>
      <c r="G38" s="3">
        <v>13606</v>
      </c>
      <c r="H38" s="1">
        <v>0</v>
      </c>
      <c r="I38" s="3">
        <v>2642060</v>
      </c>
      <c r="J38" s="3">
        <v>2628454</v>
      </c>
      <c r="K38" s="3">
        <v>2628454</v>
      </c>
      <c r="L38" s="3">
        <v>117300</v>
      </c>
      <c r="M38" s="3">
        <v>327227</v>
      </c>
      <c r="N38" s="3">
        <v>37632</v>
      </c>
      <c r="O38" s="3">
        <v>33549</v>
      </c>
      <c r="P38" s="3">
        <v>182551</v>
      </c>
      <c r="Q38" s="3">
        <v>1943801</v>
      </c>
      <c r="R38" s="3">
        <v>1930195</v>
      </c>
      <c r="S38" s="3">
        <v>1930195</v>
      </c>
      <c r="T38" s="3">
        <v>264206</v>
      </c>
      <c r="U38" s="3">
        <v>264206</v>
      </c>
      <c r="V38" s="3">
        <v>264206</v>
      </c>
      <c r="W38" s="3">
        <v>264206</v>
      </c>
      <c r="X38" s="3">
        <v>261938</v>
      </c>
      <c r="Y38" s="3">
        <v>261938</v>
      </c>
      <c r="Z38" s="4">
        <v>261939</v>
      </c>
      <c r="AA38" s="4">
        <v>261939</v>
      </c>
      <c r="AB38" s="4">
        <v>261939</v>
      </c>
      <c r="AC38" s="4">
        <v>261937</v>
      </c>
      <c r="AD38" s="4">
        <v>264206</v>
      </c>
      <c r="AE38" s="4">
        <v>528412</v>
      </c>
      <c r="AF38" s="4">
        <v>792618</v>
      </c>
      <c r="AG38" s="4">
        <v>1056824</v>
      </c>
      <c r="AH38" s="4">
        <v>1318762</v>
      </c>
      <c r="AI38" s="4">
        <v>1580700</v>
      </c>
      <c r="AJ38" s="4">
        <v>1842639</v>
      </c>
      <c r="AK38" s="4">
        <v>2104578</v>
      </c>
      <c r="AL38" s="4">
        <v>2366517</v>
      </c>
      <c r="AM38" s="4">
        <v>2628454</v>
      </c>
      <c r="AN38" s="154">
        <v>251918</v>
      </c>
    </row>
    <row r="39" spans="1:40" x14ac:dyDescent="0.2">
      <c r="A39" s="1">
        <v>2019</v>
      </c>
      <c r="B39" s="2" t="s">
        <v>59</v>
      </c>
      <c r="C39" s="2" t="s">
        <v>59</v>
      </c>
      <c r="D39" s="1" t="s">
        <v>414</v>
      </c>
      <c r="E39" s="3">
        <v>3325345</v>
      </c>
      <c r="F39" s="1">
        <v>547</v>
      </c>
      <c r="G39" s="3">
        <v>14066</v>
      </c>
      <c r="H39" s="1">
        <v>0</v>
      </c>
      <c r="I39" s="3">
        <v>3324798</v>
      </c>
      <c r="J39" s="3">
        <v>3310732</v>
      </c>
      <c r="K39" s="3">
        <v>3310732</v>
      </c>
      <c r="L39" s="3">
        <v>110597</v>
      </c>
      <c r="M39" s="3">
        <v>343114</v>
      </c>
      <c r="N39" s="3">
        <v>36883</v>
      </c>
      <c r="O39" s="3">
        <v>34569</v>
      </c>
      <c r="P39" s="3">
        <v>183852</v>
      </c>
      <c r="Q39" s="3">
        <v>2615783</v>
      </c>
      <c r="R39" s="3">
        <v>2601717</v>
      </c>
      <c r="S39" s="3">
        <v>2601717</v>
      </c>
      <c r="T39" s="3">
        <v>332480</v>
      </c>
      <c r="U39" s="3">
        <v>332480</v>
      </c>
      <c r="V39" s="3">
        <v>332480</v>
      </c>
      <c r="W39" s="3">
        <v>332480</v>
      </c>
      <c r="X39" s="3">
        <v>330135</v>
      </c>
      <c r="Y39" s="3">
        <v>330135</v>
      </c>
      <c r="Z39" s="4">
        <v>330136</v>
      </c>
      <c r="AA39" s="4">
        <v>330136</v>
      </c>
      <c r="AB39" s="4">
        <v>330136</v>
      </c>
      <c r="AC39" s="4">
        <v>330134</v>
      </c>
      <c r="AD39" s="4">
        <v>332480</v>
      </c>
      <c r="AE39" s="4">
        <v>664960</v>
      </c>
      <c r="AF39" s="4">
        <v>997440</v>
      </c>
      <c r="AG39" s="4">
        <v>1329920</v>
      </c>
      <c r="AH39" s="4">
        <v>1660055</v>
      </c>
      <c r="AI39" s="4">
        <v>1990190</v>
      </c>
      <c r="AJ39" s="4">
        <v>2320326</v>
      </c>
      <c r="AK39" s="4">
        <v>2650462</v>
      </c>
      <c r="AL39" s="4">
        <v>2980598</v>
      </c>
      <c r="AM39" s="4">
        <v>3310732</v>
      </c>
      <c r="AN39" s="154">
        <v>251338</v>
      </c>
    </row>
    <row r="40" spans="1:40" x14ac:dyDescent="0.2">
      <c r="A40" s="1">
        <v>2019</v>
      </c>
      <c r="B40" s="2" t="s">
        <v>60</v>
      </c>
      <c r="C40" s="2" t="s">
        <v>60</v>
      </c>
      <c r="D40" s="1" t="s">
        <v>415</v>
      </c>
      <c r="E40" s="3">
        <v>2075843</v>
      </c>
      <c r="F40" s="1">
        <v>580</v>
      </c>
      <c r="G40" s="3">
        <v>11378</v>
      </c>
      <c r="H40" s="1">
        <v>0</v>
      </c>
      <c r="I40" s="3">
        <v>2075263</v>
      </c>
      <c r="J40" s="3">
        <v>2063885</v>
      </c>
      <c r="K40" s="3">
        <v>2063885</v>
      </c>
      <c r="L40" s="3">
        <v>117300</v>
      </c>
      <c r="M40" s="3">
        <v>291475</v>
      </c>
      <c r="N40" s="3">
        <v>30029</v>
      </c>
      <c r="O40" s="3">
        <v>31749</v>
      </c>
      <c r="P40" s="3">
        <v>154038</v>
      </c>
      <c r="Q40" s="3">
        <v>1450672</v>
      </c>
      <c r="R40" s="3">
        <v>1439294</v>
      </c>
      <c r="S40" s="3">
        <v>1439294</v>
      </c>
      <c r="T40" s="3">
        <v>207526</v>
      </c>
      <c r="U40" s="3">
        <v>207526</v>
      </c>
      <c r="V40" s="3">
        <v>207526</v>
      </c>
      <c r="W40" s="3">
        <v>207526</v>
      </c>
      <c r="X40" s="3">
        <v>205630</v>
      </c>
      <c r="Y40" s="3">
        <v>205630</v>
      </c>
      <c r="Z40" s="4">
        <v>205630</v>
      </c>
      <c r="AA40" s="4">
        <v>205630</v>
      </c>
      <c r="AB40" s="4">
        <v>205630</v>
      </c>
      <c r="AC40" s="4">
        <v>205631</v>
      </c>
      <c r="AD40" s="4">
        <v>207526</v>
      </c>
      <c r="AE40" s="4">
        <v>415052</v>
      </c>
      <c r="AF40" s="4">
        <v>622578</v>
      </c>
      <c r="AG40" s="4">
        <v>830104</v>
      </c>
      <c r="AH40" s="4">
        <v>1035734</v>
      </c>
      <c r="AI40" s="4">
        <v>1241364</v>
      </c>
      <c r="AJ40" s="4">
        <v>1446994</v>
      </c>
      <c r="AK40" s="4">
        <v>1652624</v>
      </c>
      <c r="AL40" s="4">
        <v>1858254</v>
      </c>
      <c r="AM40" s="4">
        <v>2063885</v>
      </c>
      <c r="AN40" s="154">
        <v>206703</v>
      </c>
    </row>
    <row r="41" spans="1:40" x14ac:dyDescent="0.2">
      <c r="A41" s="1">
        <v>2019</v>
      </c>
      <c r="B41" s="2" t="s">
        <v>61</v>
      </c>
      <c r="C41" s="2" t="s">
        <v>61</v>
      </c>
      <c r="D41" s="1" t="s">
        <v>416</v>
      </c>
      <c r="E41" s="3">
        <v>30369624</v>
      </c>
      <c r="F41" s="3">
        <v>3052</v>
      </c>
      <c r="G41" s="3">
        <v>106492</v>
      </c>
      <c r="H41" s="3">
        <v>1040169</v>
      </c>
      <c r="I41" s="3">
        <v>30366572</v>
      </c>
      <c r="J41" s="3">
        <v>30260080</v>
      </c>
      <c r="K41" s="3">
        <v>29219911</v>
      </c>
      <c r="L41" s="3">
        <v>616660</v>
      </c>
      <c r="M41" s="3">
        <v>2496393</v>
      </c>
      <c r="N41" s="3">
        <v>342450</v>
      </c>
      <c r="O41" s="3">
        <v>274340</v>
      </c>
      <c r="P41" s="3">
        <v>1429726</v>
      </c>
      <c r="Q41" s="3">
        <v>25207003</v>
      </c>
      <c r="R41" s="3">
        <v>25100511</v>
      </c>
      <c r="S41" s="3">
        <v>24060342</v>
      </c>
      <c r="T41" s="3">
        <v>3036657</v>
      </c>
      <c r="U41" s="3">
        <v>3036657</v>
      </c>
      <c r="V41" s="3">
        <v>3036657</v>
      </c>
      <c r="W41" s="3">
        <v>3036657</v>
      </c>
      <c r="X41" s="3">
        <v>3018909</v>
      </c>
      <c r="Y41" s="3">
        <v>3018909</v>
      </c>
      <c r="Z41" s="4">
        <v>2758866</v>
      </c>
      <c r="AA41" s="4">
        <v>2758866</v>
      </c>
      <c r="AB41" s="4">
        <v>2758866</v>
      </c>
      <c r="AC41" s="4">
        <v>2758867</v>
      </c>
      <c r="AD41" s="4">
        <v>3036657</v>
      </c>
      <c r="AE41" s="4">
        <v>6073314</v>
      </c>
      <c r="AF41" s="4">
        <v>9109971</v>
      </c>
      <c r="AG41" s="4">
        <v>12146628</v>
      </c>
      <c r="AH41" s="4">
        <v>15165537</v>
      </c>
      <c r="AI41" s="4">
        <v>18184446</v>
      </c>
      <c r="AJ41" s="4">
        <v>20943312</v>
      </c>
      <c r="AK41" s="4">
        <v>23702178</v>
      </c>
      <c r="AL41" s="4">
        <v>26461044</v>
      </c>
      <c r="AM41" s="4">
        <v>29219911</v>
      </c>
      <c r="AN41" s="154">
        <v>1991867</v>
      </c>
    </row>
    <row r="42" spans="1:40" x14ac:dyDescent="0.2">
      <c r="A42" s="1">
        <v>2019</v>
      </c>
      <c r="B42" s="2" t="s">
        <v>62</v>
      </c>
      <c r="C42" s="2" t="s">
        <v>62</v>
      </c>
      <c r="D42" s="1" t="s">
        <v>2</v>
      </c>
      <c r="E42" s="3">
        <v>1771053</v>
      </c>
      <c r="F42" s="3">
        <v>531</v>
      </c>
      <c r="G42" s="3">
        <v>12412</v>
      </c>
      <c r="H42" s="1">
        <v>0</v>
      </c>
      <c r="I42" s="3">
        <v>1770522</v>
      </c>
      <c r="J42" s="3">
        <v>1758110</v>
      </c>
      <c r="K42" s="3">
        <v>1758110</v>
      </c>
      <c r="L42" s="3">
        <v>107245</v>
      </c>
      <c r="M42" s="3">
        <v>312654</v>
      </c>
      <c r="N42" s="3">
        <v>32234</v>
      </c>
      <c r="O42" s="3">
        <v>31503</v>
      </c>
      <c r="P42" s="3">
        <v>162238</v>
      </c>
      <c r="Q42" s="3">
        <v>1124648</v>
      </c>
      <c r="R42" s="3">
        <v>1112236</v>
      </c>
      <c r="S42" s="3">
        <v>1112236</v>
      </c>
      <c r="T42" s="3">
        <v>177052</v>
      </c>
      <c r="U42" s="3">
        <v>177052</v>
      </c>
      <c r="V42" s="3">
        <v>177052</v>
      </c>
      <c r="W42" s="3">
        <v>177052</v>
      </c>
      <c r="X42" s="3">
        <v>174984</v>
      </c>
      <c r="Y42" s="3">
        <v>174984</v>
      </c>
      <c r="Z42" s="4">
        <v>174984</v>
      </c>
      <c r="AA42" s="4">
        <v>174984</v>
      </c>
      <c r="AB42" s="4">
        <v>174984</v>
      </c>
      <c r="AC42" s="4">
        <v>174982</v>
      </c>
      <c r="AD42" s="4">
        <v>177052</v>
      </c>
      <c r="AE42" s="4">
        <v>354104</v>
      </c>
      <c r="AF42" s="4">
        <v>531156</v>
      </c>
      <c r="AG42" s="4">
        <v>708208</v>
      </c>
      <c r="AH42" s="4">
        <v>883192</v>
      </c>
      <c r="AI42" s="4">
        <v>1058176</v>
      </c>
      <c r="AJ42" s="4">
        <v>1233160</v>
      </c>
      <c r="AK42" s="4">
        <v>1408144</v>
      </c>
      <c r="AL42" s="4">
        <v>1583128</v>
      </c>
      <c r="AM42" s="4">
        <v>1758110</v>
      </c>
      <c r="AN42" s="154">
        <v>209119</v>
      </c>
    </row>
    <row r="43" spans="1:40" x14ac:dyDescent="0.2">
      <c r="A43" s="1">
        <v>2019</v>
      </c>
      <c r="B43" s="2" t="s">
        <v>63</v>
      </c>
      <c r="C43" s="2" t="s">
        <v>63</v>
      </c>
      <c r="D43" s="1" t="s">
        <v>3</v>
      </c>
      <c r="E43" s="3">
        <v>1574830</v>
      </c>
      <c r="F43" s="3">
        <v>282</v>
      </c>
      <c r="G43" s="3">
        <v>6415</v>
      </c>
      <c r="H43" s="1">
        <v>0</v>
      </c>
      <c r="I43" s="3">
        <v>1574548</v>
      </c>
      <c r="J43" s="3">
        <v>1568133</v>
      </c>
      <c r="K43" s="3">
        <v>1568133</v>
      </c>
      <c r="L43" s="3">
        <v>56974</v>
      </c>
      <c r="M43" s="3">
        <v>169837</v>
      </c>
      <c r="N43" s="3">
        <v>19151</v>
      </c>
      <c r="O43" s="3">
        <v>18705</v>
      </c>
      <c r="P43" s="3">
        <v>84438</v>
      </c>
      <c r="Q43" s="3">
        <v>1225443</v>
      </c>
      <c r="R43" s="3">
        <v>1219028</v>
      </c>
      <c r="S43" s="3">
        <v>1219028</v>
      </c>
      <c r="T43" s="3">
        <v>157455</v>
      </c>
      <c r="U43" s="3">
        <v>157455</v>
      </c>
      <c r="V43" s="3">
        <v>157455</v>
      </c>
      <c r="W43" s="3">
        <v>157455</v>
      </c>
      <c r="X43" s="3">
        <v>156386</v>
      </c>
      <c r="Y43" s="3">
        <v>156386</v>
      </c>
      <c r="Z43" s="4">
        <v>156385</v>
      </c>
      <c r="AA43" s="4">
        <v>156385</v>
      </c>
      <c r="AB43" s="4">
        <v>156385</v>
      </c>
      <c r="AC43" s="4">
        <v>156386</v>
      </c>
      <c r="AD43" s="4">
        <v>157455</v>
      </c>
      <c r="AE43" s="4">
        <v>314910</v>
      </c>
      <c r="AF43" s="4">
        <v>472365</v>
      </c>
      <c r="AG43" s="4">
        <v>629820</v>
      </c>
      <c r="AH43" s="4">
        <v>786206</v>
      </c>
      <c r="AI43" s="4">
        <v>942592</v>
      </c>
      <c r="AJ43" s="4">
        <v>1098977</v>
      </c>
      <c r="AK43" s="4">
        <v>1255362</v>
      </c>
      <c r="AL43" s="4">
        <v>1411747</v>
      </c>
      <c r="AM43" s="4">
        <v>1568133</v>
      </c>
      <c r="AN43" s="154">
        <v>124085</v>
      </c>
    </row>
    <row r="44" spans="1:40" x14ac:dyDescent="0.2">
      <c r="A44" s="1">
        <v>2019</v>
      </c>
      <c r="B44" s="2" t="s">
        <v>64</v>
      </c>
      <c r="C44" s="2" t="s">
        <v>64</v>
      </c>
      <c r="D44" s="1" t="s">
        <v>417</v>
      </c>
      <c r="E44" s="3">
        <v>2523936</v>
      </c>
      <c r="F44" s="3">
        <v>481</v>
      </c>
      <c r="G44" s="3">
        <v>10923</v>
      </c>
      <c r="H44" s="1">
        <v>0</v>
      </c>
      <c r="I44" s="3">
        <v>2523455</v>
      </c>
      <c r="J44" s="3">
        <v>2512532</v>
      </c>
      <c r="K44" s="3">
        <v>2512532</v>
      </c>
      <c r="L44" s="3">
        <v>97191</v>
      </c>
      <c r="M44" s="3">
        <v>285086</v>
      </c>
      <c r="N44" s="3">
        <v>32737</v>
      </c>
      <c r="O44" s="3">
        <v>31162</v>
      </c>
      <c r="P44" s="3">
        <v>145051</v>
      </c>
      <c r="Q44" s="3">
        <v>1932228</v>
      </c>
      <c r="R44" s="3">
        <v>1921305</v>
      </c>
      <c r="S44" s="3">
        <v>1921305</v>
      </c>
      <c r="T44" s="3">
        <v>252346</v>
      </c>
      <c r="U44" s="3">
        <v>252346</v>
      </c>
      <c r="V44" s="3">
        <v>252346</v>
      </c>
      <c r="W44" s="3">
        <v>252346</v>
      </c>
      <c r="X44" s="3">
        <v>250525</v>
      </c>
      <c r="Y44" s="3">
        <v>250525</v>
      </c>
      <c r="Z44" s="4">
        <v>250525</v>
      </c>
      <c r="AA44" s="4">
        <v>250525</v>
      </c>
      <c r="AB44" s="4">
        <v>250525</v>
      </c>
      <c r="AC44" s="4">
        <v>250523</v>
      </c>
      <c r="AD44" s="4">
        <v>252346</v>
      </c>
      <c r="AE44" s="4">
        <v>504692</v>
      </c>
      <c r="AF44" s="4">
        <v>757038</v>
      </c>
      <c r="AG44" s="4">
        <v>1009384</v>
      </c>
      <c r="AH44" s="4">
        <v>1259909</v>
      </c>
      <c r="AI44" s="4">
        <v>1510434</v>
      </c>
      <c r="AJ44" s="4">
        <v>1760959</v>
      </c>
      <c r="AK44" s="4">
        <v>2011484</v>
      </c>
      <c r="AL44" s="4">
        <v>2262009</v>
      </c>
      <c r="AM44" s="4">
        <v>2512532</v>
      </c>
      <c r="AN44" s="154">
        <v>196360</v>
      </c>
    </row>
    <row r="45" spans="1:40" x14ac:dyDescent="0.2">
      <c r="A45" s="1">
        <v>2019</v>
      </c>
      <c r="B45" s="2" t="s">
        <v>65</v>
      </c>
      <c r="C45" s="2" t="s">
        <v>65</v>
      </c>
      <c r="D45" s="1" t="s">
        <v>418</v>
      </c>
      <c r="E45" s="3">
        <v>4829840</v>
      </c>
      <c r="F45" s="3">
        <v>846</v>
      </c>
      <c r="G45" s="3">
        <v>20965</v>
      </c>
      <c r="H45" s="1">
        <v>0</v>
      </c>
      <c r="I45" s="3">
        <v>4828994</v>
      </c>
      <c r="J45" s="3">
        <v>4808029</v>
      </c>
      <c r="K45" s="3">
        <v>4808029</v>
      </c>
      <c r="L45" s="3">
        <v>170922</v>
      </c>
      <c r="M45" s="3">
        <v>505275</v>
      </c>
      <c r="N45" s="3">
        <v>62971</v>
      </c>
      <c r="O45" s="3">
        <v>52929</v>
      </c>
      <c r="P45" s="3">
        <v>278400</v>
      </c>
      <c r="Q45" s="3">
        <v>3758497</v>
      </c>
      <c r="R45" s="3">
        <v>3737532</v>
      </c>
      <c r="S45" s="3">
        <v>3737532</v>
      </c>
      <c r="T45" s="3">
        <v>482899</v>
      </c>
      <c r="U45" s="3">
        <v>482899</v>
      </c>
      <c r="V45" s="3">
        <v>482899</v>
      </c>
      <c r="W45" s="3">
        <v>482899</v>
      </c>
      <c r="X45" s="3">
        <v>479406</v>
      </c>
      <c r="Y45" s="3">
        <v>479406</v>
      </c>
      <c r="Z45" s="4">
        <v>479405</v>
      </c>
      <c r="AA45" s="4">
        <v>479405</v>
      </c>
      <c r="AB45" s="4">
        <v>479405</v>
      </c>
      <c r="AC45" s="4">
        <v>479406</v>
      </c>
      <c r="AD45" s="4">
        <v>482899</v>
      </c>
      <c r="AE45" s="4">
        <v>965798</v>
      </c>
      <c r="AF45" s="4">
        <v>1448697</v>
      </c>
      <c r="AG45" s="4">
        <v>1931596</v>
      </c>
      <c r="AH45" s="4">
        <v>2411002</v>
      </c>
      <c r="AI45" s="4">
        <v>2890408</v>
      </c>
      <c r="AJ45" s="4">
        <v>3369813</v>
      </c>
      <c r="AK45" s="4">
        <v>3849218</v>
      </c>
      <c r="AL45" s="4">
        <v>4328623</v>
      </c>
      <c r="AM45" s="4">
        <v>4808029</v>
      </c>
      <c r="AN45" s="154">
        <v>367305</v>
      </c>
    </row>
    <row r="46" spans="1:40" x14ac:dyDescent="0.2">
      <c r="A46" s="1">
        <v>2019</v>
      </c>
      <c r="B46" s="2" t="s">
        <v>66</v>
      </c>
      <c r="C46" s="2" t="s">
        <v>66</v>
      </c>
      <c r="D46" s="1" t="s">
        <v>419</v>
      </c>
      <c r="E46" s="3">
        <v>3920924</v>
      </c>
      <c r="F46" s="3">
        <v>1277</v>
      </c>
      <c r="G46" s="3">
        <v>14330</v>
      </c>
      <c r="H46" s="1">
        <v>0</v>
      </c>
      <c r="I46" s="3">
        <v>3919647</v>
      </c>
      <c r="J46" s="3">
        <v>3905317</v>
      </c>
      <c r="K46" s="3">
        <v>3905317</v>
      </c>
      <c r="L46" s="3">
        <v>258059</v>
      </c>
      <c r="M46" s="3">
        <v>349429</v>
      </c>
      <c r="N46" s="3">
        <v>43441</v>
      </c>
      <c r="O46" s="3">
        <v>32563</v>
      </c>
      <c r="P46" s="3">
        <v>187313</v>
      </c>
      <c r="Q46" s="3">
        <v>3048842</v>
      </c>
      <c r="R46" s="3">
        <v>3034512</v>
      </c>
      <c r="S46" s="3">
        <v>3034512</v>
      </c>
      <c r="T46" s="3">
        <v>391965</v>
      </c>
      <c r="U46" s="3">
        <v>391965</v>
      </c>
      <c r="V46" s="3">
        <v>391965</v>
      </c>
      <c r="W46" s="3">
        <v>391965</v>
      </c>
      <c r="X46" s="3">
        <v>389576</v>
      </c>
      <c r="Y46" s="3">
        <v>389576</v>
      </c>
      <c r="Z46" s="4">
        <v>389576</v>
      </c>
      <c r="AA46" s="4">
        <v>389576</v>
      </c>
      <c r="AB46" s="4">
        <v>389576</v>
      </c>
      <c r="AC46" s="4">
        <v>389577</v>
      </c>
      <c r="AD46" s="4">
        <v>391965</v>
      </c>
      <c r="AE46" s="4">
        <v>783930</v>
      </c>
      <c r="AF46" s="4">
        <v>1175895</v>
      </c>
      <c r="AG46" s="4">
        <v>1567860</v>
      </c>
      <c r="AH46" s="4">
        <v>1957436</v>
      </c>
      <c r="AI46" s="4">
        <v>2347012</v>
      </c>
      <c r="AJ46" s="4">
        <v>2736588</v>
      </c>
      <c r="AK46" s="4">
        <v>3126164</v>
      </c>
      <c r="AL46" s="4">
        <v>3515740</v>
      </c>
      <c r="AM46" s="4">
        <v>3905317</v>
      </c>
      <c r="AN46" s="154">
        <v>245401</v>
      </c>
    </row>
    <row r="47" spans="1:40" x14ac:dyDescent="0.2">
      <c r="A47" s="1">
        <v>2019</v>
      </c>
      <c r="B47" s="2" t="s">
        <v>67</v>
      </c>
      <c r="C47" s="2" t="s">
        <v>67</v>
      </c>
      <c r="D47" s="1" t="s">
        <v>420</v>
      </c>
      <c r="E47" s="3">
        <v>13727731</v>
      </c>
      <c r="F47" s="3">
        <v>1725</v>
      </c>
      <c r="G47" s="3">
        <v>48551</v>
      </c>
      <c r="H47" s="1">
        <v>0</v>
      </c>
      <c r="I47" s="3">
        <v>13726006</v>
      </c>
      <c r="J47" s="3">
        <v>13677455</v>
      </c>
      <c r="K47" s="3">
        <v>13677455</v>
      </c>
      <c r="L47" s="3">
        <v>348547</v>
      </c>
      <c r="M47" s="3">
        <v>1093526</v>
      </c>
      <c r="N47" s="3">
        <v>133318</v>
      </c>
      <c r="O47" s="3">
        <v>111685</v>
      </c>
      <c r="P47" s="3">
        <v>634618</v>
      </c>
      <c r="Q47" s="3">
        <v>11404312</v>
      </c>
      <c r="R47" s="3">
        <v>11355761</v>
      </c>
      <c r="S47" s="3">
        <v>11355761</v>
      </c>
      <c r="T47" s="3">
        <v>1372601</v>
      </c>
      <c r="U47" s="3">
        <v>1372601</v>
      </c>
      <c r="V47" s="3">
        <v>1372601</v>
      </c>
      <c r="W47" s="3">
        <v>1372601</v>
      </c>
      <c r="X47" s="3">
        <v>1364509</v>
      </c>
      <c r="Y47" s="3">
        <v>1364509</v>
      </c>
      <c r="Z47" s="4">
        <v>1364508</v>
      </c>
      <c r="AA47" s="4">
        <v>1364508</v>
      </c>
      <c r="AB47" s="4">
        <v>1364508</v>
      </c>
      <c r="AC47" s="4">
        <v>1364509</v>
      </c>
      <c r="AD47" s="4">
        <v>1372601</v>
      </c>
      <c r="AE47" s="4">
        <v>2745202</v>
      </c>
      <c r="AF47" s="4">
        <v>4117803</v>
      </c>
      <c r="AG47" s="4">
        <v>5490404</v>
      </c>
      <c r="AH47" s="4">
        <v>6854913</v>
      </c>
      <c r="AI47" s="4">
        <v>8219422</v>
      </c>
      <c r="AJ47" s="4">
        <v>9583930</v>
      </c>
      <c r="AK47" s="4">
        <v>10948438</v>
      </c>
      <c r="AL47" s="4">
        <v>12312946</v>
      </c>
      <c r="AM47" s="4">
        <v>13677455</v>
      </c>
      <c r="AN47" s="154">
        <v>844433</v>
      </c>
    </row>
    <row r="48" spans="1:40" x14ac:dyDescent="0.2">
      <c r="A48" s="1">
        <v>2019</v>
      </c>
      <c r="B48" s="2" t="s">
        <v>68</v>
      </c>
      <c r="C48" s="2" t="s">
        <v>68</v>
      </c>
      <c r="D48" s="1" t="s">
        <v>421</v>
      </c>
      <c r="E48" s="3">
        <v>8288284</v>
      </c>
      <c r="F48" s="3">
        <v>3101</v>
      </c>
      <c r="G48" s="3">
        <v>42491</v>
      </c>
      <c r="H48" s="1">
        <v>0</v>
      </c>
      <c r="I48" s="3">
        <v>8285183</v>
      </c>
      <c r="J48" s="3">
        <v>8242692</v>
      </c>
      <c r="K48" s="3">
        <v>8242692</v>
      </c>
      <c r="L48" s="3">
        <v>626715</v>
      </c>
      <c r="M48" s="3">
        <v>956171</v>
      </c>
      <c r="N48" s="3">
        <v>110810</v>
      </c>
      <c r="O48" s="3">
        <v>110010</v>
      </c>
      <c r="P48" s="3">
        <v>555409</v>
      </c>
      <c r="Q48" s="3">
        <v>5926068</v>
      </c>
      <c r="R48" s="3">
        <v>5883577</v>
      </c>
      <c r="S48" s="3">
        <v>5883577</v>
      </c>
      <c r="T48" s="3">
        <v>828518</v>
      </c>
      <c r="U48" s="3">
        <v>828518</v>
      </c>
      <c r="V48" s="3">
        <v>828518</v>
      </c>
      <c r="W48" s="3">
        <v>828518</v>
      </c>
      <c r="X48" s="3">
        <v>821437</v>
      </c>
      <c r="Y48" s="3">
        <v>821437</v>
      </c>
      <c r="Z48" s="4">
        <v>821437</v>
      </c>
      <c r="AA48" s="4">
        <v>821437</v>
      </c>
      <c r="AB48" s="4">
        <v>821437</v>
      </c>
      <c r="AC48" s="4">
        <v>821435</v>
      </c>
      <c r="AD48" s="4">
        <v>828518</v>
      </c>
      <c r="AE48" s="4">
        <v>1657036</v>
      </c>
      <c r="AF48" s="4">
        <v>2485554</v>
      </c>
      <c r="AG48" s="4">
        <v>3314072</v>
      </c>
      <c r="AH48" s="4">
        <v>4135509</v>
      </c>
      <c r="AI48" s="4">
        <v>4956946</v>
      </c>
      <c r="AJ48" s="4">
        <v>5778383</v>
      </c>
      <c r="AK48" s="4">
        <v>6599820</v>
      </c>
      <c r="AL48" s="4">
        <v>7421257</v>
      </c>
      <c r="AM48" s="4">
        <v>8242692</v>
      </c>
      <c r="AN48" s="154">
        <v>803075</v>
      </c>
    </row>
    <row r="49" spans="1:40" x14ac:dyDescent="0.2">
      <c r="A49" s="1">
        <v>2019</v>
      </c>
      <c r="B49" s="2" t="s">
        <v>69</v>
      </c>
      <c r="C49" s="2" t="s">
        <v>69</v>
      </c>
      <c r="D49" s="1" t="s">
        <v>422</v>
      </c>
      <c r="E49" s="3">
        <v>29264970</v>
      </c>
      <c r="F49" s="3">
        <v>2305</v>
      </c>
      <c r="G49" s="3">
        <v>128079</v>
      </c>
      <c r="H49" s="1">
        <v>0</v>
      </c>
      <c r="I49" s="3">
        <v>29262665</v>
      </c>
      <c r="J49" s="3">
        <v>29134586</v>
      </c>
      <c r="K49" s="3">
        <v>29134586</v>
      </c>
      <c r="L49" s="3">
        <v>465847</v>
      </c>
      <c r="M49" s="3">
        <v>2916266</v>
      </c>
      <c r="N49" s="3">
        <v>345594</v>
      </c>
      <c r="O49" s="3">
        <v>346260</v>
      </c>
      <c r="P49" s="3">
        <v>1674129</v>
      </c>
      <c r="Q49" s="3">
        <v>23514569</v>
      </c>
      <c r="R49" s="3">
        <v>23386490</v>
      </c>
      <c r="S49" s="3">
        <v>23386490</v>
      </c>
      <c r="T49" s="3">
        <v>2926267</v>
      </c>
      <c r="U49" s="3">
        <v>2926267</v>
      </c>
      <c r="V49" s="3">
        <v>2926267</v>
      </c>
      <c r="W49" s="3">
        <v>2926267</v>
      </c>
      <c r="X49" s="3">
        <v>2904920</v>
      </c>
      <c r="Y49" s="3">
        <v>2904920</v>
      </c>
      <c r="Z49" s="4">
        <v>2904920</v>
      </c>
      <c r="AA49" s="4">
        <v>2904920</v>
      </c>
      <c r="AB49" s="4">
        <v>2904920</v>
      </c>
      <c r="AC49" s="4">
        <v>2904918</v>
      </c>
      <c r="AD49" s="4">
        <v>2926267</v>
      </c>
      <c r="AE49" s="4">
        <v>5852534</v>
      </c>
      <c r="AF49" s="4">
        <v>8778801</v>
      </c>
      <c r="AG49" s="4">
        <v>11705068</v>
      </c>
      <c r="AH49" s="4">
        <v>14609988</v>
      </c>
      <c r="AI49" s="4">
        <v>17514908</v>
      </c>
      <c r="AJ49" s="4">
        <v>20419828</v>
      </c>
      <c r="AK49" s="4">
        <v>23324748</v>
      </c>
      <c r="AL49" s="4">
        <v>26229668</v>
      </c>
      <c r="AM49" s="4">
        <v>29134586</v>
      </c>
      <c r="AN49" s="154">
        <v>2426393</v>
      </c>
    </row>
    <row r="50" spans="1:40" x14ac:dyDescent="0.2">
      <c r="A50" s="1">
        <v>2019</v>
      </c>
      <c r="B50" s="2" t="s">
        <v>70</v>
      </c>
      <c r="C50" s="2" t="s">
        <v>70</v>
      </c>
      <c r="D50" s="1" t="s">
        <v>423</v>
      </c>
      <c r="E50" s="3">
        <v>105046476</v>
      </c>
      <c r="F50" s="3">
        <v>10780</v>
      </c>
      <c r="G50" s="3">
        <v>427872</v>
      </c>
      <c r="H50" s="1">
        <v>0</v>
      </c>
      <c r="I50" s="3">
        <v>105035696</v>
      </c>
      <c r="J50" s="3">
        <v>104607824</v>
      </c>
      <c r="K50" s="3">
        <v>104607824</v>
      </c>
      <c r="L50" s="3">
        <v>2178420</v>
      </c>
      <c r="M50" s="3">
        <v>9745943</v>
      </c>
      <c r="N50" s="3">
        <v>1254729</v>
      </c>
      <c r="O50" s="3">
        <v>1149725</v>
      </c>
      <c r="P50" s="3">
        <v>5592749</v>
      </c>
      <c r="Q50" s="3">
        <v>85114130</v>
      </c>
      <c r="R50" s="3">
        <v>84686258</v>
      </c>
      <c r="S50" s="3">
        <v>84686258</v>
      </c>
      <c r="T50" s="3">
        <v>10503570</v>
      </c>
      <c r="U50" s="3">
        <v>10503570</v>
      </c>
      <c r="V50" s="3">
        <v>10503570</v>
      </c>
      <c r="W50" s="3">
        <v>10503570</v>
      </c>
      <c r="X50" s="3">
        <v>10432257</v>
      </c>
      <c r="Y50" s="3">
        <v>10432257</v>
      </c>
      <c r="Z50" s="4">
        <v>10432258</v>
      </c>
      <c r="AA50" s="4">
        <v>10432258</v>
      </c>
      <c r="AB50" s="4">
        <v>10432258</v>
      </c>
      <c r="AC50" s="4">
        <v>10432256</v>
      </c>
      <c r="AD50" s="4">
        <v>10503570</v>
      </c>
      <c r="AE50" s="4">
        <v>21007140</v>
      </c>
      <c r="AF50" s="4">
        <v>31510710</v>
      </c>
      <c r="AG50" s="4">
        <v>42014280</v>
      </c>
      <c r="AH50" s="4">
        <v>52446537</v>
      </c>
      <c r="AI50" s="4">
        <v>62878794</v>
      </c>
      <c r="AJ50" s="4">
        <v>73311052</v>
      </c>
      <c r="AK50" s="4">
        <v>83743310</v>
      </c>
      <c r="AL50" s="4">
        <v>94175568</v>
      </c>
      <c r="AM50" s="4">
        <v>104607824</v>
      </c>
      <c r="AN50" s="154">
        <v>7754813</v>
      </c>
    </row>
    <row r="51" spans="1:40" x14ac:dyDescent="0.2">
      <c r="A51" s="1">
        <v>2019</v>
      </c>
      <c r="B51" s="2" t="s">
        <v>71</v>
      </c>
      <c r="C51" s="2" t="s">
        <v>71</v>
      </c>
      <c r="D51" s="1" t="s">
        <v>424</v>
      </c>
      <c r="E51" s="3">
        <v>9207577</v>
      </c>
      <c r="F51" s="3">
        <v>1410</v>
      </c>
      <c r="G51" s="3">
        <v>33879</v>
      </c>
      <c r="H51" s="1">
        <v>0</v>
      </c>
      <c r="I51" s="3">
        <v>9206167</v>
      </c>
      <c r="J51" s="3">
        <v>9172288</v>
      </c>
      <c r="K51" s="3">
        <v>9172288</v>
      </c>
      <c r="L51" s="3">
        <v>284870</v>
      </c>
      <c r="M51" s="3">
        <v>779344</v>
      </c>
      <c r="N51" s="3">
        <v>89163</v>
      </c>
      <c r="O51" s="3">
        <v>86464</v>
      </c>
      <c r="P51" s="3">
        <v>442832</v>
      </c>
      <c r="Q51" s="3">
        <v>7523494</v>
      </c>
      <c r="R51" s="3">
        <v>7489615</v>
      </c>
      <c r="S51" s="3">
        <v>7489615</v>
      </c>
      <c r="T51" s="3">
        <v>920617</v>
      </c>
      <c r="U51" s="3">
        <v>920617</v>
      </c>
      <c r="V51" s="3">
        <v>920617</v>
      </c>
      <c r="W51" s="3">
        <v>920617</v>
      </c>
      <c r="X51" s="3">
        <v>914970</v>
      </c>
      <c r="Y51" s="3">
        <v>914970</v>
      </c>
      <c r="Z51" s="4">
        <v>914970</v>
      </c>
      <c r="AA51" s="4">
        <v>914970</v>
      </c>
      <c r="AB51" s="4">
        <v>914970</v>
      </c>
      <c r="AC51" s="4">
        <v>914970</v>
      </c>
      <c r="AD51" s="4">
        <v>920617</v>
      </c>
      <c r="AE51" s="4">
        <v>1841234</v>
      </c>
      <c r="AF51" s="4">
        <v>2761851</v>
      </c>
      <c r="AG51" s="4">
        <v>3682468</v>
      </c>
      <c r="AH51" s="4">
        <v>4597438</v>
      </c>
      <c r="AI51" s="4">
        <v>5512408</v>
      </c>
      <c r="AJ51" s="4">
        <v>6427378</v>
      </c>
      <c r="AK51" s="4">
        <v>7342348</v>
      </c>
      <c r="AL51" s="4">
        <v>8257318</v>
      </c>
      <c r="AM51" s="4">
        <v>9172288</v>
      </c>
      <c r="AN51" s="154">
        <v>593866</v>
      </c>
    </row>
    <row r="52" spans="1:40" x14ac:dyDescent="0.2">
      <c r="A52" s="1">
        <v>2019</v>
      </c>
      <c r="B52" s="2" t="s">
        <v>72</v>
      </c>
      <c r="C52" s="2" t="s">
        <v>72</v>
      </c>
      <c r="D52" s="1" t="s">
        <v>425</v>
      </c>
      <c r="E52" s="3">
        <v>9783648</v>
      </c>
      <c r="F52" s="3">
        <v>1310</v>
      </c>
      <c r="G52" s="3">
        <v>34381</v>
      </c>
      <c r="H52" s="1">
        <v>0</v>
      </c>
      <c r="I52" s="3">
        <v>9782338</v>
      </c>
      <c r="J52" s="3">
        <v>9747957</v>
      </c>
      <c r="K52" s="3">
        <v>9747957</v>
      </c>
      <c r="L52" s="3">
        <v>264762</v>
      </c>
      <c r="M52" s="3">
        <v>798890</v>
      </c>
      <c r="N52" s="3">
        <v>96830</v>
      </c>
      <c r="O52" s="3">
        <v>91599</v>
      </c>
      <c r="P52" s="3">
        <v>449395</v>
      </c>
      <c r="Q52" s="3">
        <v>8080862</v>
      </c>
      <c r="R52" s="3">
        <v>8046481</v>
      </c>
      <c r="S52" s="3">
        <v>8046481</v>
      </c>
      <c r="T52" s="3">
        <v>978234</v>
      </c>
      <c r="U52" s="3">
        <v>978234</v>
      </c>
      <c r="V52" s="3">
        <v>978234</v>
      </c>
      <c r="W52" s="3">
        <v>978234</v>
      </c>
      <c r="X52" s="3">
        <v>972504</v>
      </c>
      <c r="Y52" s="3">
        <v>972504</v>
      </c>
      <c r="Z52" s="4">
        <v>972503</v>
      </c>
      <c r="AA52" s="4">
        <v>972503</v>
      </c>
      <c r="AB52" s="4">
        <v>972503</v>
      </c>
      <c r="AC52" s="4">
        <v>972504</v>
      </c>
      <c r="AD52" s="4">
        <v>978234</v>
      </c>
      <c r="AE52" s="4">
        <v>1956468</v>
      </c>
      <c r="AF52" s="4">
        <v>2934702</v>
      </c>
      <c r="AG52" s="4">
        <v>3912936</v>
      </c>
      <c r="AH52" s="4">
        <v>4885440</v>
      </c>
      <c r="AI52" s="4">
        <v>5857944</v>
      </c>
      <c r="AJ52" s="4">
        <v>6830447</v>
      </c>
      <c r="AK52" s="4">
        <v>7802950</v>
      </c>
      <c r="AL52" s="4">
        <v>8775453</v>
      </c>
      <c r="AM52" s="4">
        <v>9747957</v>
      </c>
      <c r="AN52" s="154">
        <v>581161</v>
      </c>
    </row>
    <row r="53" spans="1:40" x14ac:dyDescent="0.2">
      <c r="A53" s="1">
        <v>2019</v>
      </c>
      <c r="B53" s="2" t="s">
        <v>73</v>
      </c>
      <c r="C53" s="2" t="s">
        <v>73</v>
      </c>
      <c r="D53" s="1" t="s">
        <v>426</v>
      </c>
      <c r="E53" s="3">
        <v>4528582</v>
      </c>
      <c r="F53" s="3">
        <v>779</v>
      </c>
      <c r="G53" s="3">
        <v>19151</v>
      </c>
      <c r="H53" s="1">
        <v>0</v>
      </c>
      <c r="I53" s="3">
        <v>4527803</v>
      </c>
      <c r="J53" s="3">
        <v>4508652</v>
      </c>
      <c r="K53" s="3">
        <v>4508652</v>
      </c>
      <c r="L53" s="3">
        <v>157517</v>
      </c>
      <c r="M53" s="3">
        <v>473542</v>
      </c>
      <c r="N53" s="3">
        <v>51685</v>
      </c>
      <c r="O53" s="3">
        <v>60842</v>
      </c>
      <c r="P53" s="3">
        <v>254543</v>
      </c>
      <c r="Q53" s="3">
        <v>3529674</v>
      </c>
      <c r="R53" s="3">
        <v>3510523</v>
      </c>
      <c r="S53" s="3">
        <v>3510523</v>
      </c>
      <c r="T53" s="3">
        <v>452780</v>
      </c>
      <c r="U53" s="3">
        <v>452780</v>
      </c>
      <c r="V53" s="3">
        <v>452780</v>
      </c>
      <c r="W53" s="3">
        <v>452780</v>
      </c>
      <c r="X53" s="3">
        <v>449589</v>
      </c>
      <c r="Y53" s="3">
        <v>449589</v>
      </c>
      <c r="Z53" s="4">
        <v>449589</v>
      </c>
      <c r="AA53" s="4">
        <v>449589</v>
      </c>
      <c r="AB53" s="4">
        <v>449589</v>
      </c>
      <c r="AC53" s="4">
        <v>449587</v>
      </c>
      <c r="AD53" s="4">
        <v>452780</v>
      </c>
      <c r="AE53" s="4">
        <v>905560</v>
      </c>
      <c r="AF53" s="4">
        <v>1358340</v>
      </c>
      <c r="AG53" s="4">
        <v>1811120</v>
      </c>
      <c r="AH53" s="4">
        <v>2260709</v>
      </c>
      <c r="AI53" s="4">
        <v>2710298</v>
      </c>
      <c r="AJ53" s="4">
        <v>3159887</v>
      </c>
      <c r="AK53" s="4">
        <v>3609476</v>
      </c>
      <c r="AL53" s="4">
        <v>4059065</v>
      </c>
      <c r="AM53" s="4">
        <v>4508652</v>
      </c>
      <c r="AN53" s="154">
        <v>328489</v>
      </c>
    </row>
    <row r="54" spans="1:40" x14ac:dyDescent="0.2">
      <c r="A54" s="1">
        <v>2019</v>
      </c>
      <c r="B54" s="2" t="s">
        <v>74</v>
      </c>
      <c r="C54" s="2" t="s">
        <v>74</v>
      </c>
      <c r="D54" s="1" t="s">
        <v>427</v>
      </c>
      <c r="E54" s="3">
        <v>2359540</v>
      </c>
      <c r="F54" s="3">
        <v>547</v>
      </c>
      <c r="G54" s="3">
        <v>10456</v>
      </c>
      <c r="H54" s="1">
        <v>0</v>
      </c>
      <c r="I54" s="3">
        <v>2358993</v>
      </c>
      <c r="J54" s="3">
        <v>2348537</v>
      </c>
      <c r="K54" s="3">
        <v>2348537</v>
      </c>
      <c r="L54" s="3">
        <v>110597</v>
      </c>
      <c r="M54" s="3">
        <v>255634</v>
      </c>
      <c r="N54" s="3">
        <v>26072</v>
      </c>
      <c r="O54" s="3">
        <v>26440</v>
      </c>
      <c r="P54" s="3">
        <v>140073</v>
      </c>
      <c r="Q54" s="3">
        <v>1800177</v>
      </c>
      <c r="R54" s="3">
        <v>1789721</v>
      </c>
      <c r="S54" s="3">
        <v>1789721</v>
      </c>
      <c r="T54" s="3">
        <v>235899</v>
      </c>
      <c r="U54" s="3">
        <v>235899</v>
      </c>
      <c r="V54" s="3">
        <v>235899</v>
      </c>
      <c r="W54" s="3">
        <v>235899</v>
      </c>
      <c r="X54" s="3">
        <v>234157</v>
      </c>
      <c r="Y54" s="3">
        <v>234157</v>
      </c>
      <c r="Z54" s="4">
        <v>234157</v>
      </c>
      <c r="AA54" s="4">
        <v>234157</v>
      </c>
      <c r="AB54" s="4">
        <v>234157</v>
      </c>
      <c r="AC54" s="4">
        <v>234156</v>
      </c>
      <c r="AD54" s="4">
        <v>235899</v>
      </c>
      <c r="AE54" s="4">
        <v>471798</v>
      </c>
      <c r="AF54" s="4">
        <v>707697</v>
      </c>
      <c r="AG54" s="4">
        <v>943596</v>
      </c>
      <c r="AH54" s="4">
        <v>1177753</v>
      </c>
      <c r="AI54" s="4">
        <v>1411910</v>
      </c>
      <c r="AJ54" s="4">
        <v>1646067</v>
      </c>
      <c r="AK54" s="4">
        <v>1880224</v>
      </c>
      <c r="AL54" s="4">
        <v>2114381</v>
      </c>
      <c r="AM54" s="4">
        <v>2348537</v>
      </c>
      <c r="AN54" s="154">
        <v>204463</v>
      </c>
    </row>
    <row r="55" spans="1:40" x14ac:dyDescent="0.2">
      <c r="A55" s="1">
        <v>2019</v>
      </c>
      <c r="B55" s="2" t="s">
        <v>75</v>
      </c>
      <c r="C55" s="2" t="s">
        <v>75</v>
      </c>
      <c r="D55" s="1" t="s">
        <v>428</v>
      </c>
      <c r="E55" s="3">
        <v>8710078</v>
      </c>
      <c r="F55" s="3">
        <v>1874</v>
      </c>
      <c r="G55" s="3">
        <v>36537</v>
      </c>
      <c r="H55" s="1">
        <v>0</v>
      </c>
      <c r="I55" s="3">
        <v>8708204</v>
      </c>
      <c r="J55" s="3">
        <v>8671667</v>
      </c>
      <c r="K55" s="3">
        <v>8671667</v>
      </c>
      <c r="L55" s="3">
        <v>378710</v>
      </c>
      <c r="M55" s="3">
        <v>870014</v>
      </c>
      <c r="N55" s="3">
        <v>89064</v>
      </c>
      <c r="O55" s="3">
        <v>94242</v>
      </c>
      <c r="P55" s="3">
        <v>477572</v>
      </c>
      <c r="Q55" s="3">
        <v>6798602</v>
      </c>
      <c r="R55" s="3">
        <v>6762065</v>
      </c>
      <c r="S55" s="3">
        <v>6762065</v>
      </c>
      <c r="T55" s="3">
        <v>870820</v>
      </c>
      <c r="U55" s="3">
        <v>870820</v>
      </c>
      <c r="V55" s="3">
        <v>870820</v>
      </c>
      <c r="W55" s="3">
        <v>870820</v>
      </c>
      <c r="X55" s="3">
        <v>864731</v>
      </c>
      <c r="Y55" s="3">
        <v>864731</v>
      </c>
      <c r="Z55" s="4">
        <v>864731</v>
      </c>
      <c r="AA55" s="4">
        <v>864731</v>
      </c>
      <c r="AB55" s="4">
        <v>864731</v>
      </c>
      <c r="AC55" s="4">
        <v>864732</v>
      </c>
      <c r="AD55" s="4">
        <v>870820</v>
      </c>
      <c r="AE55" s="4">
        <v>1741640</v>
      </c>
      <c r="AF55" s="4">
        <v>2612460</v>
      </c>
      <c r="AG55" s="4">
        <v>3483280</v>
      </c>
      <c r="AH55" s="4">
        <v>4348011</v>
      </c>
      <c r="AI55" s="4">
        <v>5212742</v>
      </c>
      <c r="AJ55" s="4">
        <v>6077473</v>
      </c>
      <c r="AK55" s="4">
        <v>6942204</v>
      </c>
      <c r="AL55" s="4">
        <v>7806935</v>
      </c>
      <c r="AM55" s="4">
        <v>8671667</v>
      </c>
      <c r="AN55" s="154">
        <v>640794</v>
      </c>
    </row>
    <row r="56" spans="1:40" x14ac:dyDescent="0.2">
      <c r="A56" s="1">
        <v>2019</v>
      </c>
      <c r="B56" s="2" t="s">
        <v>76</v>
      </c>
      <c r="C56" s="2" t="s">
        <v>76</v>
      </c>
      <c r="D56" s="1" t="s">
        <v>429</v>
      </c>
      <c r="E56" s="3">
        <v>3084504</v>
      </c>
      <c r="F56" s="1">
        <v>448</v>
      </c>
      <c r="G56" s="3">
        <v>11830</v>
      </c>
      <c r="H56" s="1">
        <v>0</v>
      </c>
      <c r="I56" s="3">
        <v>3084056</v>
      </c>
      <c r="J56" s="3">
        <v>3072226</v>
      </c>
      <c r="K56" s="3">
        <v>3072226</v>
      </c>
      <c r="L56" s="3">
        <v>87156</v>
      </c>
      <c r="M56" s="3">
        <v>296377</v>
      </c>
      <c r="N56" s="3">
        <v>33114</v>
      </c>
      <c r="O56" s="3">
        <v>29006</v>
      </c>
      <c r="P56" s="3">
        <v>154782</v>
      </c>
      <c r="Q56" s="3">
        <v>2483621</v>
      </c>
      <c r="R56" s="3">
        <v>2471791</v>
      </c>
      <c r="S56" s="3">
        <v>2471791</v>
      </c>
      <c r="T56" s="3">
        <v>308406</v>
      </c>
      <c r="U56" s="3">
        <v>308406</v>
      </c>
      <c r="V56" s="3">
        <v>308406</v>
      </c>
      <c r="W56" s="3">
        <v>308406</v>
      </c>
      <c r="X56" s="3">
        <v>306434</v>
      </c>
      <c r="Y56" s="3">
        <v>306434</v>
      </c>
      <c r="Z56" s="4">
        <v>306434</v>
      </c>
      <c r="AA56" s="4">
        <v>306434</v>
      </c>
      <c r="AB56" s="4">
        <v>306434</v>
      </c>
      <c r="AC56" s="4">
        <v>306432</v>
      </c>
      <c r="AD56" s="4">
        <v>308406</v>
      </c>
      <c r="AE56" s="4">
        <v>616812</v>
      </c>
      <c r="AF56" s="4">
        <v>925218</v>
      </c>
      <c r="AG56" s="4">
        <v>1233624</v>
      </c>
      <c r="AH56" s="4">
        <v>1540058</v>
      </c>
      <c r="AI56" s="4">
        <v>1846492</v>
      </c>
      <c r="AJ56" s="4">
        <v>2152926</v>
      </c>
      <c r="AK56" s="4">
        <v>2459360</v>
      </c>
      <c r="AL56" s="4">
        <v>2765794</v>
      </c>
      <c r="AM56" s="4">
        <v>3072226</v>
      </c>
      <c r="AN56" s="154">
        <v>201319</v>
      </c>
    </row>
    <row r="57" spans="1:40" x14ac:dyDescent="0.2">
      <c r="A57" s="1">
        <v>2019</v>
      </c>
      <c r="B57" s="2" t="s">
        <v>77</v>
      </c>
      <c r="C57" s="2" t="s">
        <v>77</v>
      </c>
      <c r="D57" s="1" t="s">
        <v>430</v>
      </c>
      <c r="E57" s="3">
        <v>4408214</v>
      </c>
      <c r="F57" s="3">
        <v>697</v>
      </c>
      <c r="G57" s="3">
        <v>15404</v>
      </c>
      <c r="H57" s="1">
        <v>0</v>
      </c>
      <c r="I57" s="3">
        <v>4407517</v>
      </c>
      <c r="J57" s="3">
        <v>4392113</v>
      </c>
      <c r="K57" s="3">
        <v>4392113</v>
      </c>
      <c r="L57" s="3">
        <v>140759</v>
      </c>
      <c r="M57" s="3">
        <v>389627</v>
      </c>
      <c r="N57" s="3">
        <v>52376</v>
      </c>
      <c r="O57" s="3">
        <v>40239</v>
      </c>
      <c r="P57" s="3">
        <v>210384</v>
      </c>
      <c r="Q57" s="3">
        <v>3574132</v>
      </c>
      <c r="R57" s="3">
        <v>3558728</v>
      </c>
      <c r="S57" s="3">
        <v>3558728</v>
      </c>
      <c r="T57" s="3">
        <v>440752</v>
      </c>
      <c r="U57" s="3">
        <v>440752</v>
      </c>
      <c r="V57" s="3">
        <v>440752</v>
      </c>
      <c r="W57" s="3">
        <v>440752</v>
      </c>
      <c r="X57" s="3">
        <v>438184</v>
      </c>
      <c r="Y57" s="3">
        <v>438184</v>
      </c>
      <c r="Z57" s="4">
        <v>438184</v>
      </c>
      <c r="AA57" s="4">
        <v>438184</v>
      </c>
      <c r="AB57" s="4">
        <v>438184</v>
      </c>
      <c r="AC57" s="4">
        <v>438185</v>
      </c>
      <c r="AD57" s="4">
        <v>440752</v>
      </c>
      <c r="AE57" s="4">
        <v>881504</v>
      </c>
      <c r="AF57" s="4">
        <v>1322256</v>
      </c>
      <c r="AG57" s="4">
        <v>1763008</v>
      </c>
      <c r="AH57" s="4">
        <v>2201192</v>
      </c>
      <c r="AI57" s="4">
        <v>2639376</v>
      </c>
      <c r="AJ57" s="4">
        <v>3077560</v>
      </c>
      <c r="AK57" s="4">
        <v>3515744</v>
      </c>
      <c r="AL57" s="4">
        <v>3953928</v>
      </c>
      <c r="AM57" s="4">
        <v>4392113</v>
      </c>
      <c r="AN57" s="154">
        <v>286650</v>
      </c>
    </row>
    <row r="58" spans="1:40" x14ac:dyDescent="0.2">
      <c r="A58" s="1">
        <v>2019</v>
      </c>
      <c r="B58" s="2" t="s">
        <v>78</v>
      </c>
      <c r="C58" s="2" t="s">
        <v>78</v>
      </c>
      <c r="D58" s="1" t="s">
        <v>431</v>
      </c>
      <c r="E58" s="3">
        <v>4311742</v>
      </c>
      <c r="F58" s="1">
        <v>829</v>
      </c>
      <c r="G58" s="3">
        <v>19014</v>
      </c>
      <c r="H58" s="3">
        <v>0</v>
      </c>
      <c r="I58" s="3">
        <v>4310913</v>
      </c>
      <c r="J58" s="3">
        <v>4291899</v>
      </c>
      <c r="K58" s="3">
        <v>4291899</v>
      </c>
      <c r="L58" s="3">
        <v>167571</v>
      </c>
      <c r="M58" s="3">
        <v>429408</v>
      </c>
      <c r="N58" s="3">
        <v>45710</v>
      </c>
      <c r="O58" s="3">
        <v>49470</v>
      </c>
      <c r="P58" s="3">
        <v>248532</v>
      </c>
      <c r="Q58" s="3">
        <v>3370222</v>
      </c>
      <c r="R58" s="3">
        <v>3351208</v>
      </c>
      <c r="S58" s="3">
        <v>3351208</v>
      </c>
      <c r="T58" s="3">
        <v>431091</v>
      </c>
      <c r="U58" s="3">
        <v>431091</v>
      </c>
      <c r="V58" s="3">
        <v>431091</v>
      </c>
      <c r="W58" s="3">
        <v>431091</v>
      </c>
      <c r="X58" s="3">
        <v>427923</v>
      </c>
      <c r="Y58" s="3">
        <v>427923</v>
      </c>
      <c r="Z58" s="4">
        <v>427922</v>
      </c>
      <c r="AA58" s="4">
        <v>427922</v>
      </c>
      <c r="AB58" s="4">
        <v>427922</v>
      </c>
      <c r="AC58" s="4">
        <v>427923</v>
      </c>
      <c r="AD58" s="4">
        <v>431091</v>
      </c>
      <c r="AE58" s="4">
        <v>862182</v>
      </c>
      <c r="AF58" s="4">
        <v>1293273</v>
      </c>
      <c r="AG58" s="4">
        <v>1724364</v>
      </c>
      <c r="AH58" s="4">
        <v>2152287</v>
      </c>
      <c r="AI58" s="4">
        <v>2580210</v>
      </c>
      <c r="AJ58" s="4">
        <v>3008132</v>
      </c>
      <c r="AK58" s="4">
        <v>3436054</v>
      </c>
      <c r="AL58" s="4">
        <v>3863976</v>
      </c>
      <c r="AM58" s="4">
        <v>4291899</v>
      </c>
      <c r="AN58" s="154">
        <v>349363</v>
      </c>
    </row>
    <row r="59" spans="1:40" x14ac:dyDescent="0.2">
      <c r="A59" s="1">
        <v>2019</v>
      </c>
      <c r="B59" s="2" t="s">
        <v>79</v>
      </c>
      <c r="C59" s="2" t="s">
        <v>79</v>
      </c>
      <c r="D59" s="1" t="s">
        <v>432</v>
      </c>
      <c r="E59" s="3">
        <v>8119353</v>
      </c>
      <c r="F59" s="1">
        <v>862</v>
      </c>
      <c r="G59" s="3">
        <v>30986</v>
      </c>
      <c r="H59" s="1">
        <v>0</v>
      </c>
      <c r="I59" s="3">
        <v>8118491</v>
      </c>
      <c r="J59" s="3">
        <v>8087505</v>
      </c>
      <c r="K59" s="3">
        <v>8087505</v>
      </c>
      <c r="L59" s="3">
        <v>174274</v>
      </c>
      <c r="M59" s="3">
        <v>723745</v>
      </c>
      <c r="N59" s="3">
        <v>99965</v>
      </c>
      <c r="O59" s="3">
        <v>77332</v>
      </c>
      <c r="P59" s="3">
        <v>414303</v>
      </c>
      <c r="Q59" s="3">
        <v>6628872</v>
      </c>
      <c r="R59" s="3">
        <v>6597886</v>
      </c>
      <c r="S59" s="3">
        <v>6597886</v>
      </c>
      <c r="T59" s="3">
        <v>811849</v>
      </c>
      <c r="U59" s="3">
        <v>811849</v>
      </c>
      <c r="V59" s="3">
        <v>811849</v>
      </c>
      <c r="W59" s="3">
        <v>811849</v>
      </c>
      <c r="X59" s="3">
        <v>806685</v>
      </c>
      <c r="Y59" s="3">
        <v>806685</v>
      </c>
      <c r="Z59" s="4">
        <v>806685</v>
      </c>
      <c r="AA59" s="4">
        <v>806685</v>
      </c>
      <c r="AB59" s="4">
        <v>806685</v>
      </c>
      <c r="AC59" s="4">
        <v>806684</v>
      </c>
      <c r="AD59" s="4">
        <v>811849</v>
      </c>
      <c r="AE59" s="4">
        <v>1623698</v>
      </c>
      <c r="AF59" s="4">
        <v>2435547</v>
      </c>
      <c r="AG59" s="4">
        <v>3247396</v>
      </c>
      <c r="AH59" s="4">
        <v>4054081</v>
      </c>
      <c r="AI59" s="4">
        <v>4860766</v>
      </c>
      <c r="AJ59" s="4">
        <v>5667451</v>
      </c>
      <c r="AK59" s="4">
        <v>6474136</v>
      </c>
      <c r="AL59" s="4">
        <v>7280821</v>
      </c>
      <c r="AM59" s="4">
        <v>8087505</v>
      </c>
      <c r="AN59" s="154">
        <v>560126</v>
      </c>
    </row>
    <row r="60" spans="1:40" x14ac:dyDescent="0.2">
      <c r="A60" s="1">
        <v>2019</v>
      </c>
      <c r="B60" s="2" t="s">
        <v>80</v>
      </c>
      <c r="C60" s="2" t="s">
        <v>80</v>
      </c>
      <c r="D60" s="1" t="s">
        <v>433</v>
      </c>
      <c r="E60" s="3">
        <v>9145495</v>
      </c>
      <c r="F60" s="3">
        <v>1161</v>
      </c>
      <c r="G60" s="3">
        <v>37511</v>
      </c>
      <c r="H60" s="1">
        <v>0</v>
      </c>
      <c r="I60" s="3">
        <v>9144334</v>
      </c>
      <c r="J60" s="3">
        <v>9106823</v>
      </c>
      <c r="K60" s="3">
        <v>9106823</v>
      </c>
      <c r="L60" s="3">
        <v>234599</v>
      </c>
      <c r="M60" s="3">
        <v>868598</v>
      </c>
      <c r="N60" s="3">
        <v>101260</v>
      </c>
      <c r="O60" s="3">
        <v>102626</v>
      </c>
      <c r="P60" s="3">
        <v>490305</v>
      </c>
      <c r="Q60" s="3">
        <v>7346946</v>
      </c>
      <c r="R60" s="3">
        <v>7309435</v>
      </c>
      <c r="S60" s="3">
        <v>7309435</v>
      </c>
      <c r="T60" s="3">
        <v>914433</v>
      </c>
      <c r="U60" s="3">
        <v>914433</v>
      </c>
      <c r="V60" s="3">
        <v>914433</v>
      </c>
      <c r="W60" s="3">
        <v>914433</v>
      </c>
      <c r="X60" s="3">
        <v>908182</v>
      </c>
      <c r="Y60" s="3">
        <v>908182</v>
      </c>
      <c r="Z60" s="4">
        <v>908182</v>
      </c>
      <c r="AA60" s="4">
        <v>908182</v>
      </c>
      <c r="AB60" s="4">
        <v>908182</v>
      </c>
      <c r="AC60" s="4">
        <v>908181</v>
      </c>
      <c r="AD60" s="4">
        <v>914433</v>
      </c>
      <c r="AE60" s="4">
        <v>1828866</v>
      </c>
      <c r="AF60" s="4">
        <v>2743299</v>
      </c>
      <c r="AG60" s="4">
        <v>3657732</v>
      </c>
      <c r="AH60" s="4">
        <v>4565914</v>
      </c>
      <c r="AI60" s="4">
        <v>5474096</v>
      </c>
      <c r="AJ60" s="4">
        <v>6382278</v>
      </c>
      <c r="AK60" s="4">
        <v>7290460</v>
      </c>
      <c r="AL60" s="4">
        <v>8198642</v>
      </c>
      <c r="AM60" s="4">
        <v>9106823</v>
      </c>
      <c r="AN60" s="154">
        <v>709247</v>
      </c>
    </row>
    <row r="61" spans="1:40" x14ac:dyDescent="0.2">
      <c r="A61" s="1">
        <v>2019</v>
      </c>
      <c r="B61" s="2" t="s">
        <v>81</v>
      </c>
      <c r="C61" s="2" t="s">
        <v>81</v>
      </c>
      <c r="D61" s="1" t="s">
        <v>434</v>
      </c>
      <c r="E61" s="3">
        <v>1454835</v>
      </c>
      <c r="F61" s="1">
        <v>232</v>
      </c>
      <c r="G61" s="3">
        <v>6472</v>
      </c>
      <c r="H61" s="1">
        <v>0</v>
      </c>
      <c r="I61" s="3">
        <v>1454603</v>
      </c>
      <c r="J61" s="3">
        <v>1448131</v>
      </c>
      <c r="K61" s="3">
        <v>1448131</v>
      </c>
      <c r="L61" s="3">
        <v>46920</v>
      </c>
      <c r="M61" s="3">
        <v>173825</v>
      </c>
      <c r="N61" s="3">
        <v>19937</v>
      </c>
      <c r="O61" s="3">
        <v>18192</v>
      </c>
      <c r="P61" s="3">
        <v>87606</v>
      </c>
      <c r="Q61" s="3">
        <v>1108123</v>
      </c>
      <c r="R61" s="3">
        <v>1101651</v>
      </c>
      <c r="S61" s="3">
        <v>1101651</v>
      </c>
      <c r="T61" s="3">
        <v>145460</v>
      </c>
      <c r="U61" s="3">
        <v>145460</v>
      </c>
      <c r="V61" s="3">
        <v>145460</v>
      </c>
      <c r="W61" s="3">
        <v>145460</v>
      </c>
      <c r="X61" s="3">
        <v>144382</v>
      </c>
      <c r="Y61" s="3">
        <v>144382</v>
      </c>
      <c r="Z61" s="4">
        <v>144382</v>
      </c>
      <c r="AA61" s="4">
        <v>144382</v>
      </c>
      <c r="AB61" s="4">
        <v>144382</v>
      </c>
      <c r="AC61" s="4">
        <v>144381</v>
      </c>
      <c r="AD61" s="4">
        <v>145460</v>
      </c>
      <c r="AE61" s="4">
        <v>290920</v>
      </c>
      <c r="AF61" s="4">
        <v>436380</v>
      </c>
      <c r="AG61" s="4">
        <v>581840</v>
      </c>
      <c r="AH61" s="4">
        <v>726222</v>
      </c>
      <c r="AI61" s="4">
        <v>870604</v>
      </c>
      <c r="AJ61" s="4">
        <v>1014986</v>
      </c>
      <c r="AK61" s="4">
        <v>1159368</v>
      </c>
      <c r="AL61" s="4">
        <v>1303750</v>
      </c>
      <c r="AM61" s="4">
        <v>1448131</v>
      </c>
      <c r="AN61" s="154">
        <v>122821</v>
      </c>
    </row>
    <row r="62" spans="1:40" x14ac:dyDescent="0.2">
      <c r="A62" s="1">
        <v>2019</v>
      </c>
      <c r="B62" s="2" t="s">
        <v>82</v>
      </c>
      <c r="C62" s="2" t="s">
        <v>82</v>
      </c>
      <c r="D62" s="1" t="s">
        <v>435</v>
      </c>
      <c r="E62" s="3">
        <v>6099649</v>
      </c>
      <c r="F62" s="3">
        <v>730</v>
      </c>
      <c r="G62" s="3">
        <v>24317</v>
      </c>
      <c r="H62" s="1">
        <v>0</v>
      </c>
      <c r="I62" s="3">
        <v>6098919</v>
      </c>
      <c r="J62" s="3">
        <v>6074602</v>
      </c>
      <c r="K62" s="3">
        <v>6074602</v>
      </c>
      <c r="L62" s="3">
        <v>147462</v>
      </c>
      <c r="M62" s="3">
        <v>577324</v>
      </c>
      <c r="N62" s="3">
        <v>69420</v>
      </c>
      <c r="O62" s="3">
        <v>64932</v>
      </c>
      <c r="P62" s="3">
        <v>317848</v>
      </c>
      <c r="Q62" s="3">
        <v>4921933</v>
      </c>
      <c r="R62" s="3">
        <v>4897616</v>
      </c>
      <c r="S62" s="3">
        <v>4897616</v>
      </c>
      <c r="T62" s="3">
        <v>609892</v>
      </c>
      <c r="U62" s="3">
        <v>609892</v>
      </c>
      <c r="V62" s="3">
        <v>609892</v>
      </c>
      <c r="W62" s="3">
        <v>609892</v>
      </c>
      <c r="X62" s="3">
        <v>605839</v>
      </c>
      <c r="Y62" s="3">
        <v>605839</v>
      </c>
      <c r="Z62" s="4">
        <v>605839</v>
      </c>
      <c r="AA62" s="4">
        <v>605839</v>
      </c>
      <c r="AB62" s="4">
        <v>605839</v>
      </c>
      <c r="AC62" s="4">
        <v>605839</v>
      </c>
      <c r="AD62" s="4">
        <v>609892</v>
      </c>
      <c r="AE62" s="4">
        <v>1219784</v>
      </c>
      <c r="AF62" s="4">
        <v>1829676</v>
      </c>
      <c r="AG62" s="4">
        <v>2439568</v>
      </c>
      <c r="AH62" s="4">
        <v>3045407</v>
      </c>
      <c r="AI62" s="4">
        <v>3651246</v>
      </c>
      <c r="AJ62" s="4">
        <v>4257085</v>
      </c>
      <c r="AK62" s="4">
        <v>4862924</v>
      </c>
      <c r="AL62" s="4">
        <v>5468763</v>
      </c>
      <c r="AM62" s="4">
        <v>6074602</v>
      </c>
      <c r="AN62" s="154">
        <v>426077</v>
      </c>
    </row>
    <row r="63" spans="1:40" x14ac:dyDescent="0.2">
      <c r="A63" s="1">
        <v>2019</v>
      </c>
      <c r="B63" s="2" t="s">
        <v>83</v>
      </c>
      <c r="C63" s="2" t="s">
        <v>83</v>
      </c>
      <c r="D63" s="1" t="s">
        <v>436</v>
      </c>
      <c r="E63" s="3">
        <v>5680984</v>
      </c>
      <c r="F63" s="1">
        <v>448</v>
      </c>
      <c r="G63" s="3">
        <v>24464</v>
      </c>
      <c r="H63" s="1">
        <v>0</v>
      </c>
      <c r="I63" s="3">
        <v>5680536</v>
      </c>
      <c r="J63" s="3">
        <v>5656072</v>
      </c>
      <c r="K63" s="3">
        <v>5656072</v>
      </c>
      <c r="L63" s="3">
        <v>90488</v>
      </c>
      <c r="M63" s="3">
        <v>548777</v>
      </c>
      <c r="N63" s="3">
        <v>60517</v>
      </c>
      <c r="O63" s="3">
        <v>51771</v>
      </c>
      <c r="P63" s="3">
        <v>319774</v>
      </c>
      <c r="Q63" s="3">
        <v>4609209</v>
      </c>
      <c r="R63" s="3">
        <v>4584745</v>
      </c>
      <c r="S63" s="3">
        <v>4584745</v>
      </c>
      <c r="T63" s="3">
        <v>568054</v>
      </c>
      <c r="U63" s="3">
        <v>568054</v>
      </c>
      <c r="V63" s="3">
        <v>568054</v>
      </c>
      <c r="W63" s="3">
        <v>568054</v>
      </c>
      <c r="X63" s="3">
        <v>563976</v>
      </c>
      <c r="Y63" s="3">
        <v>563976</v>
      </c>
      <c r="Z63" s="4">
        <v>563976</v>
      </c>
      <c r="AA63" s="4">
        <v>563976</v>
      </c>
      <c r="AB63" s="4">
        <v>563976</v>
      </c>
      <c r="AC63" s="4">
        <v>563976</v>
      </c>
      <c r="AD63" s="4">
        <v>568054</v>
      </c>
      <c r="AE63" s="4">
        <v>1136108</v>
      </c>
      <c r="AF63" s="4">
        <v>1704162</v>
      </c>
      <c r="AG63" s="4">
        <v>2272216</v>
      </c>
      <c r="AH63" s="4">
        <v>2836192</v>
      </c>
      <c r="AI63" s="4">
        <v>3400168</v>
      </c>
      <c r="AJ63" s="4">
        <v>3964144</v>
      </c>
      <c r="AK63" s="4">
        <v>4528120</v>
      </c>
      <c r="AL63" s="4">
        <v>5092096</v>
      </c>
      <c r="AM63" s="4">
        <v>5656072</v>
      </c>
      <c r="AN63" s="154">
        <v>423373</v>
      </c>
    </row>
    <row r="64" spans="1:40" x14ac:dyDescent="0.2">
      <c r="A64" s="1">
        <v>2019</v>
      </c>
      <c r="B64" s="2" t="s">
        <v>84</v>
      </c>
      <c r="C64" s="2" t="s">
        <v>84</v>
      </c>
      <c r="D64" s="1" t="s">
        <v>437</v>
      </c>
      <c r="E64" s="3">
        <v>4975156</v>
      </c>
      <c r="F64" s="1">
        <v>862</v>
      </c>
      <c r="G64" s="3">
        <v>23570</v>
      </c>
      <c r="H64" s="1">
        <v>0</v>
      </c>
      <c r="I64" s="3">
        <v>4974294</v>
      </c>
      <c r="J64" s="3">
        <v>4950724</v>
      </c>
      <c r="K64" s="3">
        <v>4950724</v>
      </c>
      <c r="L64" s="3">
        <v>174274</v>
      </c>
      <c r="M64" s="3">
        <v>565007</v>
      </c>
      <c r="N64" s="3">
        <v>69428</v>
      </c>
      <c r="O64" s="3">
        <v>63657</v>
      </c>
      <c r="P64" s="3">
        <v>312505</v>
      </c>
      <c r="Q64" s="3">
        <v>3789423</v>
      </c>
      <c r="R64" s="3">
        <v>3765853</v>
      </c>
      <c r="S64" s="3">
        <v>3765853</v>
      </c>
      <c r="T64" s="3">
        <v>497429</v>
      </c>
      <c r="U64" s="3">
        <v>497429</v>
      </c>
      <c r="V64" s="3">
        <v>497429</v>
      </c>
      <c r="W64" s="3">
        <v>497429</v>
      </c>
      <c r="X64" s="3">
        <v>493501</v>
      </c>
      <c r="Y64" s="3">
        <v>493501</v>
      </c>
      <c r="Z64" s="4">
        <v>493502</v>
      </c>
      <c r="AA64" s="4">
        <v>493502</v>
      </c>
      <c r="AB64" s="4">
        <v>493502</v>
      </c>
      <c r="AC64" s="4">
        <v>493500</v>
      </c>
      <c r="AD64" s="4">
        <v>497429</v>
      </c>
      <c r="AE64" s="4">
        <v>994858</v>
      </c>
      <c r="AF64" s="4">
        <v>1492287</v>
      </c>
      <c r="AG64" s="4">
        <v>1989716</v>
      </c>
      <c r="AH64" s="4">
        <v>2483217</v>
      </c>
      <c r="AI64" s="4">
        <v>2976718</v>
      </c>
      <c r="AJ64" s="4">
        <v>3470220</v>
      </c>
      <c r="AK64" s="4">
        <v>3963722</v>
      </c>
      <c r="AL64" s="4">
        <v>4457224</v>
      </c>
      <c r="AM64" s="4">
        <v>4950724</v>
      </c>
      <c r="AN64" s="154">
        <v>432798</v>
      </c>
    </row>
    <row r="65" spans="1:40" x14ac:dyDescent="0.2">
      <c r="A65" s="1">
        <v>2019</v>
      </c>
      <c r="B65" s="2" t="s">
        <v>85</v>
      </c>
      <c r="C65" s="2" t="s">
        <v>85</v>
      </c>
      <c r="D65" s="1" t="s">
        <v>438</v>
      </c>
      <c r="E65" s="3">
        <v>10031164</v>
      </c>
      <c r="F65" s="1">
        <v>879</v>
      </c>
      <c r="G65" s="3">
        <v>36459</v>
      </c>
      <c r="H65" s="1">
        <v>0</v>
      </c>
      <c r="I65" s="3">
        <v>10030285</v>
      </c>
      <c r="J65" s="3">
        <v>9993826</v>
      </c>
      <c r="K65" s="3">
        <v>9993826</v>
      </c>
      <c r="L65" s="3">
        <v>177625</v>
      </c>
      <c r="M65" s="3">
        <v>846159</v>
      </c>
      <c r="N65" s="3">
        <v>111046</v>
      </c>
      <c r="O65" s="3">
        <v>87415</v>
      </c>
      <c r="P65" s="3">
        <v>476559</v>
      </c>
      <c r="Q65" s="3">
        <v>8331481</v>
      </c>
      <c r="R65" s="3">
        <v>8295022</v>
      </c>
      <c r="S65" s="3">
        <v>8295022</v>
      </c>
      <c r="T65" s="3">
        <v>1003029</v>
      </c>
      <c r="U65" s="3">
        <v>1003029</v>
      </c>
      <c r="V65" s="3">
        <v>1003029</v>
      </c>
      <c r="W65" s="3">
        <v>1003029</v>
      </c>
      <c r="X65" s="3">
        <v>996952</v>
      </c>
      <c r="Y65" s="3">
        <v>996952</v>
      </c>
      <c r="Z65" s="4">
        <v>996952</v>
      </c>
      <c r="AA65" s="4">
        <v>996952</v>
      </c>
      <c r="AB65" s="4">
        <v>996952</v>
      </c>
      <c r="AC65" s="4">
        <v>996950</v>
      </c>
      <c r="AD65" s="4">
        <v>1003029</v>
      </c>
      <c r="AE65" s="4">
        <v>2006058</v>
      </c>
      <c r="AF65" s="4">
        <v>3009087</v>
      </c>
      <c r="AG65" s="4">
        <v>4012116</v>
      </c>
      <c r="AH65" s="4">
        <v>5009068</v>
      </c>
      <c r="AI65" s="4">
        <v>6006020</v>
      </c>
      <c r="AJ65" s="4">
        <v>7002972</v>
      </c>
      <c r="AK65" s="4">
        <v>7999924</v>
      </c>
      <c r="AL65" s="4">
        <v>8996876</v>
      </c>
      <c r="AM65" s="4">
        <v>9993826</v>
      </c>
      <c r="AN65" s="154">
        <v>655835</v>
      </c>
    </row>
    <row r="66" spans="1:40" x14ac:dyDescent="0.2">
      <c r="A66" s="1">
        <v>2019</v>
      </c>
      <c r="B66" s="2" t="s">
        <v>86</v>
      </c>
      <c r="C66" s="2" t="s">
        <v>86</v>
      </c>
      <c r="D66" s="1" t="s">
        <v>439</v>
      </c>
      <c r="E66" s="3">
        <v>2081331</v>
      </c>
      <c r="F66" s="3">
        <v>265</v>
      </c>
      <c r="G66" s="3">
        <v>7868</v>
      </c>
      <c r="H66" s="1">
        <v>0</v>
      </c>
      <c r="I66" s="3">
        <v>2081066</v>
      </c>
      <c r="J66" s="3">
        <v>2073198</v>
      </c>
      <c r="K66" s="3">
        <v>2073198</v>
      </c>
      <c r="L66" s="3">
        <v>53623</v>
      </c>
      <c r="M66" s="3">
        <v>216210</v>
      </c>
      <c r="N66" s="3">
        <v>23736</v>
      </c>
      <c r="O66" s="3">
        <v>23117</v>
      </c>
      <c r="P66" s="3">
        <v>105386</v>
      </c>
      <c r="Q66" s="3">
        <v>1658994</v>
      </c>
      <c r="R66" s="3">
        <v>1651126</v>
      </c>
      <c r="S66" s="3">
        <v>1651126</v>
      </c>
      <c r="T66" s="3">
        <v>208107</v>
      </c>
      <c r="U66" s="3">
        <v>208107</v>
      </c>
      <c r="V66" s="3">
        <v>208107</v>
      </c>
      <c r="W66" s="3">
        <v>208107</v>
      </c>
      <c r="X66" s="3">
        <v>206795</v>
      </c>
      <c r="Y66" s="3">
        <v>206795</v>
      </c>
      <c r="Z66" s="4">
        <v>206795</v>
      </c>
      <c r="AA66" s="4">
        <v>206795</v>
      </c>
      <c r="AB66" s="4">
        <v>206795</v>
      </c>
      <c r="AC66" s="4">
        <v>206795</v>
      </c>
      <c r="AD66" s="4">
        <v>208107</v>
      </c>
      <c r="AE66" s="4">
        <v>416214</v>
      </c>
      <c r="AF66" s="4">
        <v>624321</v>
      </c>
      <c r="AG66" s="4">
        <v>832428</v>
      </c>
      <c r="AH66" s="4">
        <v>1039223</v>
      </c>
      <c r="AI66" s="4">
        <v>1246018</v>
      </c>
      <c r="AJ66" s="4">
        <v>1452813</v>
      </c>
      <c r="AK66" s="4">
        <v>1659608</v>
      </c>
      <c r="AL66" s="4">
        <v>1866403</v>
      </c>
      <c r="AM66" s="4">
        <v>2073198</v>
      </c>
      <c r="AN66" s="154">
        <v>152122</v>
      </c>
    </row>
    <row r="67" spans="1:40" x14ac:dyDescent="0.2">
      <c r="A67" s="1">
        <v>2019</v>
      </c>
      <c r="B67" s="2" t="s">
        <v>87</v>
      </c>
      <c r="C67" s="2" t="s">
        <v>87</v>
      </c>
      <c r="D67" s="1" t="s">
        <v>440</v>
      </c>
      <c r="E67" s="3">
        <v>1313326</v>
      </c>
      <c r="F67" s="3">
        <v>182</v>
      </c>
      <c r="G67" s="3">
        <v>8293</v>
      </c>
      <c r="H67" s="1">
        <v>0</v>
      </c>
      <c r="I67" s="3">
        <v>1313144</v>
      </c>
      <c r="J67" s="3">
        <v>1304851</v>
      </c>
      <c r="K67" s="3">
        <v>1304851</v>
      </c>
      <c r="L67" s="3">
        <v>36866</v>
      </c>
      <c r="M67" s="3">
        <v>219675</v>
      </c>
      <c r="N67" s="3">
        <v>22001</v>
      </c>
      <c r="O67" s="3">
        <v>24148</v>
      </c>
      <c r="P67" s="3">
        <v>112498</v>
      </c>
      <c r="Q67" s="3">
        <v>897956</v>
      </c>
      <c r="R67" s="3">
        <v>889663</v>
      </c>
      <c r="S67" s="3">
        <v>889663</v>
      </c>
      <c r="T67" s="3">
        <v>131314</v>
      </c>
      <c r="U67" s="3">
        <v>131314</v>
      </c>
      <c r="V67" s="3">
        <v>131314</v>
      </c>
      <c r="W67" s="3">
        <v>131314</v>
      </c>
      <c r="X67" s="3">
        <v>129933</v>
      </c>
      <c r="Y67" s="3">
        <v>129933</v>
      </c>
      <c r="Z67" s="4">
        <v>129932</v>
      </c>
      <c r="AA67" s="4">
        <v>129932</v>
      </c>
      <c r="AB67" s="4">
        <v>129932</v>
      </c>
      <c r="AC67" s="4">
        <v>129933</v>
      </c>
      <c r="AD67" s="4">
        <v>131314</v>
      </c>
      <c r="AE67" s="4">
        <v>262628</v>
      </c>
      <c r="AF67" s="4">
        <v>393942</v>
      </c>
      <c r="AG67" s="4">
        <v>525256</v>
      </c>
      <c r="AH67" s="4">
        <v>655189</v>
      </c>
      <c r="AI67" s="4">
        <v>785122</v>
      </c>
      <c r="AJ67" s="4">
        <v>915054</v>
      </c>
      <c r="AK67" s="4">
        <v>1044986</v>
      </c>
      <c r="AL67" s="4">
        <v>1174918</v>
      </c>
      <c r="AM67" s="4">
        <v>1304851</v>
      </c>
      <c r="AN67" s="154">
        <v>157046</v>
      </c>
    </row>
    <row r="68" spans="1:40" x14ac:dyDescent="0.2">
      <c r="A68" s="1">
        <v>2019</v>
      </c>
      <c r="B68" s="2" t="s">
        <v>88</v>
      </c>
      <c r="C68" s="2" t="s">
        <v>88</v>
      </c>
      <c r="D68" s="1" t="s">
        <v>441</v>
      </c>
      <c r="E68" s="3">
        <v>11201317</v>
      </c>
      <c r="F68" s="3">
        <v>2504</v>
      </c>
      <c r="G68" s="3">
        <v>54746</v>
      </c>
      <c r="H68" s="1">
        <v>0</v>
      </c>
      <c r="I68" s="3">
        <v>11198813</v>
      </c>
      <c r="J68" s="3">
        <v>11144067</v>
      </c>
      <c r="K68" s="3">
        <v>11144067</v>
      </c>
      <c r="L68" s="3">
        <v>506064</v>
      </c>
      <c r="M68" s="3">
        <v>1276665</v>
      </c>
      <c r="N68" s="3">
        <v>125650</v>
      </c>
      <c r="O68" s="3">
        <v>138800</v>
      </c>
      <c r="P68" s="3">
        <v>715590</v>
      </c>
      <c r="Q68" s="3">
        <v>8436044</v>
      </c>
      <c r="R68" s="3">
        <v>8381298</v>
      </c>
      <c r="S68" s="3">
        <v>8381298</v>
      </c>
      <c r="T68" s="3">
        <v>1119881</v>
      </c>
      <c r="U68" s="3">
        <v>1119881</v>
      </c>
      <c r="V68" s="3">
        <v>1119881</v>
      </c>
      <c r="W68" s="3">
        <v>1119881</v>
      </c>
      <c r="X68" s="3">
        <v>1110757</v>
      </c>
      <c r="Y68" s="3">
        <v>1110757</v>
      </c>
      <c r="Z68" s="4">
        <v>1110757</v>
      </c>
      <c r="AA68" s="4">
        <v>1110757</v>
      </c>
      <c r="AB68" s="4">
        <v>1110757</v>
      </c>
      <c r="AC68" s="4">
        <v>1110758</v>
      </c>
      <c r="AD68" s="4">
        <v>1119881</v>
      </c>
      <c r="AE68" s="4">
        <v>2239762</v>
      </c>
      <c r="AF68" s="4">
        <v>3359643</v>
      </c>
      <c r="AG68" s="4">
        <v>4479524</v>
      </c>
      <c r="AH68" s="4">
        <v>5590281</v>
      </c>
      <c r="AI68" s="4">
        <v>6701038</v>
      </c>
      <c r="AJ68" s="4">
        <v>7811795</v>
      </c>
      <c r="AK68" s="4">
        <v>8922552</v>
      </c>
      <c r="AL68" s="4">
        <v>10033309</v>
      </c>
      <c r="AM68" s="4">
        <v>11144067</v>
      </c>
      <c r="AN68" s="154">
        <v>996996</v>
      </c>
    </row>
    <row r="69" spans="1:40" x14ac:dyDescent="0.2">
      <c r="A69" s="1">
        <v>2019</v>
      </c>
      <c r="B69" s="2" t="s">
        <v>89</v>
      </c>
      <c r="C69" s="2" t="s">
        <v>89</v>
      </c>
      <c r="D69" s="1" t="s">
        <v>442</v>
      </c>
      <c r="E69" s="3">
        <v>5486524</v>
      </c>
      <c r="F69" s="3">
        <v>1294</v>
      </c>
      <c r="G69" s="3">
        <v>30821</v>
      </c>
      <c r="H69" s="1">
        <v>0</v>
      </c>
      <c r="I69" s="3">
        <v>5485230</v>
      </c>
      <c r="J69" s="3">
        <v>5454409</v>
      </c>
      <c r="K69" s="3">
        <v>5454409</v>
      </c>
      <c r="L69" s="3">
        <v>261410</v>
      </c>
      <c r="M69" s="3">
        <v>689318</v>
      </c>
      <c r="N69" s="3">
        <v>79007</v>
      </c>
      <c r="O69" s="3">
        <v>75712</v>
      </c>
      <c r="P69" s="3">
        <v>402868</v>
      </c>
      <c r="Q69" s="3">
        <v>3976915</v>
      </c>
      <c r="R69" s="3">
        <v>3946094</v>
      </c>
      <c r="S69" s="3">
        <v>3946094</v>
      </c>
      <c r="T69" s="3">
        <v>548523</v>
      </c>
      <c r="U69" s="3">
        <v>548523</v>
      </c>
      <c r="V69" s="3">
        <v>548523</v>
      </c>
      <c r="W69" s="3">
        <v>548523</v>
      </c>
      <c r="X69" s="3">
        <v>543386</v>
      </c>
      <c r="Y69" s="3">
        <v>543386</v>
      </c>
      <c r="Z69" s="4">
        <v>543386</v>
      </c>
      <c r="AA69" s="4">
        <v>543386</v>
      </c>
      <c r="AB69" s="4">
        <v>543386</v>
      </c>
      <c r="AC69" s="4">
        <v>543387</v>
      </c>
      <c r="AD69" s="4">
        <v>548523</v>
      </c>
      <c r="AE69" s="4">
        <v>1097046</v>
      </c>
      <c r="AF69" s="4">
        <v>1645569</v>
      </c>
      <c r="AG69" s="4">
        <v>2194092</v>
      </c>
      <c r="AH69" s="4">
        <v>2737478</v>
      </c>
      <c r="AI69" s="4">
        <v>3280864</v>
      </c>
      <c r="AJ69" s="4">
        <v>3824250</v>
      </c>
      <c r="AK69" s="4">
        <v>4367636</v>
      </c>
      <c r="AL69" s="4">
        <v>4911022</v>
      </c>
      <c r="AM69" s="4">
        <v>5454409</v>
      </c>
      <c r="AN69" s="154">
        <v>559269</v>
      </c>
    </row>
    <row r="70" spans="1:40" x14ac:dyDescent="0.2">
      <c r="A70" s="1">
        <v>2019</v>
      </c>
      <c r="B70" s="2" t="s">
        <v>90</v>
      </c>
      <c r="C70" s="2" t="s">
        <v>90</v>
      </c>
      <c r="D70" s="1" t="s">
        <v>443</v>
      </c>
      <c r="E70" s="3">
        <v>26770759</v>
      </c>
      <c r="F70" s="3">
        <v>3549</v>
      </c>
      <c r="G70" s="3">
        <v>93006</v>
      </c>
      <c r="H70" s="1">
        <v>0</v>
      </c>
      <c r="I70" s="3">
        <v>26767210</v>
      </c>
      <c r="J70" s="3">
        <v>26674204</v>
      </c>
      <c r="K70" s="3">
        <v>26674204</v>
      </c>
      <c r="L70" s="3">
        <v>717203</v>
      </c>
      <c r="M70" s="3">
        <v>2178720</v>
      </c>
      <c r="N70" s="3">
        <v>292830</v>
      </c>
      <c r="O70" s="3">
        <v>251121</v>
      </c>
      <c r="P70" s="3">
        <v>1223512</v>
      </c>
      <c r="Q70" s="3">
        <v>22103824</v>
      </c>
      <c r="R70" s="3">
        <v>22010818</v>
      </c>
      <c r="S70" s="3">
        <v>22010818</v>
      </c>
      <c r="T70" s="3">
        <v>2676721</v>
      </c>
      <c r="U70" s="3">
        <v>2676721</v>
      </c>
      <c r="V70" s="3">
        <v>2676721</v>
      </c>
      <c r="W70" s="3">
        <v>2676721</v>
      </c>
      <c r="X70" s="3">
        <v>2661220</v>
      </c>
      <c r="Y70" s="3">
        <v>2661220</v>
      </c>
      <c r="Z70" s="4">
        <v>2661220</v>
      </c>
      <c r="AA70" s="4">
        <v>2661220</v>
      </c>
      <c r="AB70" s="4">
        <v>2661220</v>
      </c>
      <c r="AC70" s="4">
        <v>2661220</v>
      </c>
      <c r="AD70" s="4">
        <v>2676721</v>
      </c>
      <c r="AE70" s="4">
        <v>5353442</v>
      </c>
      <c r="AF70" s="4">
        <v>8030163</v>
      </c>
      <c r="AG70" s="4">
        <v>10706884</v>
      </c>
      <c r="AH70" s="4">
        <v>13368104</v>
      </c>
      <c r="AI70" s="4">
        <v>16029324</v>
      </c>
      <c r="AJ70" s="4">
        <v>18690544</v>
      </c>
      <c r="AK70" s="4">
        <v>21351764</v>
      </c>
      <c r="AL70" s="4">
        <v>24012984</v>
      </c>
      <c r="AM70" s="4">
        <v>26674204</v>
      </c>
      <c r="AN70" s="154">
        <v>1692673</v>
      </c>
    </row>
    <row r="71" spans="1:40" x14ac:dyDescent="0.2">
      <c r="A71" s="1">
        <v>2019</v>
      </c>
      <c r="B71" s="2" t="s">
        <v>91</v>
      </c>
      <c r="C71" s="2" t="s">
        <v>91</v>
      </c>
      <c r="D71" s="1" t="s">
        <v>444</v>
      </c>
      <c r="E71" s="3">
        <v>4851845</v>
      </c>
      <c r="F71" s="3">
        <v>746</v>
      </c>
      <c r="G71" s="3">
        <v>18394</v>
      </c>
      <c r="H71" s="1">
        <v>0</v>
      </c>
      <c r="I71" s="3">
        <v>4851099</v>
      </c>
      <c r="J71" s="3">
        <v>4832705</v>
      </c>
      <c r="K71" s="3">
        <v>4832705</v>
      </c>
      <c r="L71" s="3">
        <v>150814</v>
      </c>
      <c r="M71" s="3">
        <v>426825</v>
      </c>
      <c r="N71" s="3">
        <v>49044</v>
      </c>
      <c r="O71" s="3">
        <v>41791</v>
      </c>
      <c r="P71" s="3">
        <v>240435</v>
      </c>
      <c r="Q71" s="3">
        <v>3942190</v>
      </c>
      <c r="R71" s="3">
        <v>3923796</v>
      </c>
      <c r="S71" s="3">
        <v>3923796</v>
      </c>
      <c r="T71" s="3">
        <v>485110</v>
      </c>
      <c r="U71" s="3">
        <v>485110</v>
      </c>
      <c r="V71" s="3">
        <v>485110</v>
      </c>
      <c r="W71" s="3">
        <v>485110</v>
      </c>
      <c r="X71" s="3">
        <v>482044</v>
      </c>
      <c r="Y71" s="3">
        <v>482044</v>
      </c>
      <c r="Z71" s="4">
        <v>482044</v>
      </c>
      <c r="AA71" s="4">
        <v>482044</v>
      </c>
      <c r="AB71" s="4">
        <v>482044</v>
      </c>
      <c r="AC71" s="4">
        <v>482045</v>
      </c>
      <c r="AD71" s="4">
        <v>485110</v>
      </c>
      <c r="AE71" s="4">
        <v>970220</v>
      </c>
      <c r="AF71" s="4">
        <v>1455330</v>
      </c>
      <c r="AG71" s="4">
        <v>1940440</v>
      </c>
      <c r="AH71" s="4">
        <v>2422484</v>
      </c>
      <c r="AI71" s="4">
        <v>2904528</v>
      </c>
      <c r="AJ71" s="4">
        <v>3386572</v>
      </c>
      <c r="AK71" s="4">
        <v>3868616</v>
      </c>
      <c r="AL71" s="4">
        <v>4350660</v>
      </c>
      <c r="AM71" s="4">
        <v>4832705</v>
      </c>
      <c r="AN71" s="154">
        <v>307945</v>
      </c>
    </row>
    <row r="72" spans="1:40" x14ac:dyDescent="0.2">
      <c r="A72" s="1">
        <v>2019</v>
      </c>
      <c r="B72" s="2" t="s">
        <v>92</v>
      </c>
      <c r="C72" s="2" t="s">
        <v>92</v>
      </c>
      <c r="D72" s="1" t="s">
        <v>445</v>
      </c>
      <c r="E72" s="3">
        <v>28528254</v>
      </c>
      <c r="F72" s="3">
        <v>4627</v>
      </c>
      <c r="G72" s="3">
        <v>128958</v>
      </c>
      <c r="H72" s="1">
        <v>0</v>
      </c>
      <c r="I72" s="3">
        <v>28523627</v>
      </c>
      <c r="J72" s="3">
        <v>28394669</v>
      </c>
      <c r="K72" s="3">
        <v>28394669</v>
      </c>
      <c r="L72" s="3">
        <v>935045</v>
      </c>
      <c r="M72" s="3">
        <v>2845164</v>
      </c>
      <c r="N72" s="3">
        <v>367894</v>
      </c>
      <c r="O72" s="3">
        <v>351580</v>
      </c>
      <c r="P72" s="3">
        <v>1685622</v>
      </c>
      <c r="Q72" s="3">
        <v>22338322</v>
      </c>
      <c r="R72" s="3">
        <v>22209364</v>
      </c>
      <c r="S72" s="3">
        <v>22209364</v>
      </c>
      <c r="T72" s="3">
        <v>2852363</v>
      </c>
      <c r="U72" s="3">
        <v>2852363</v>
      </c>
      <c r="V72" s="3">
        <v>2852363</v>
      </c>
      <c r="W72" s="3">
        <v>2852363</v>
      </c>
      <c r="X72" s="3">
        <v>2830870</v>
      </c>
      <c r="Y72" s="3">
        <v>2830870</v>
      </c>
      <c r="Z72" s="4">
        <v>2830869</v>
      </c>
      <c r="AA72" s="4">
        <v>2830869</v>
      </c>
      <c r="AB72" s="4">
        <v>2830869</v>
      </c>
      <c r="AC72" s="4">
        <v>2830870</v>
      </c>
      <c r="AD72" s="4">
        <v>2852363</v>
      </c>
      <c r="AE72" s="4">
        <v>5704726</v>
      </c>
      <c r="AF72" s="4">
        <v>8557089</v>
      </c>
      <c r="AG72" s="4">
        <v>11409452</v>
      </c>
      <c r="AH72" s="4">
        <v>14240322</v>
      </c>
      <c r="AI72" s="4">
        <v>17071192</v>
      </c>
      <c r="AJ72" s="4">
        <v>19902061</v>
      </c>
      <c r="AK72" s="4">
        <v>22732930</v>
      </c>
      <c r="AL72" s="4">
        <v>25563799</v>
      </c>
      <c r="AM72" s="4">
        <v>28394669</v>
      </c>
      <c r="AN72" s="154">
        <v>2347624</v>
      </c>
    </row>
    <row r="73" spans="1:40" x14ac:dyDescent="0.2">
      <c r="A73" s="1">
        <v>2019</v>
      </c>
      <c r="B73" s="2" t="s">
        <v>93</v>
      </c>
      <c r="C73" s="2" t="s">
        <v>93</v>
      </c>
      <c r="D73" s="1" t="s">
        <v>446</v>
      </c>
      <c r="E73" s="3">
        <v>2885681</v>
      </c>
      <c r="F73" s="1">
        <v>348</v>
      </c>
      <c r="G73" s="3">
        <v>11470</v>
      </c>
      <c r="H73" s="1">
        <v>0</v>
      </c>
      <c r="I73" s="3">
        <v>2885333</v>
      </c>
      <c r="J73" s="3">
        <v>2873863</v>
      </c>
      <c r="K73" s="3">
        <v>2873863</v>
      </c>
      <c r="L73" s="3">
        <v>70380</v>
      </c>
      <c r="M73" s="3">
        <v>289429</v>
      </c>
      <c r="N73" s="3">
        <v>32263</v>
      </c>
      <c r="O73" s="3">
        <v>29530</v>
      </c>
      <c r="P73" s="3">
        <v>157788</v>
      </c>
      <c r="Q73" s="3">
        <v>2305943</v>
      </c>
      <c r="R73" s="3">
        <v>2294473</v>
      </c>
      <c r="S73" s="3">
        <v>2294473</v>
      </c>
      <c r="T73" s="3">
        <v>288533</v>
      </c>
      <c r="U73" s="3">
        <v>288533</v>
      </c>
      <c r="V73" s="3">
        <v>288533</v>
      </c>
      <c r="W73" s="3">
        <v>288533</v>
      </c>
      <c r="X73" s="3">
        <v>286622</v>
      </c>
      <c r="Y73" s="3">
        <v>286622</v>
      </c>
      <c r="Z73" s="4">
        <v>286622</v>
      </c>
      <c r="AA73" s="4">
        <v>286622</v>
      </c>
      <c r="AB73" s="4">
        <v>286622</v>
      </c>
      <c r="AC73" s="4">
        <v>286621</v>
      </c>
      <c r="AD73" s="4">
        <v>288533</v>
      </c>
      <c r="AE73" s="4">
        <v>577066</v>
      </c>
      <c r="AF73" s="4">
        <v>865599</v>
      </c>
      <c r="AG73" s="4">
        <v>1154132</v>
      </c>
      <c r="AH73" s="4">
        <v>1440754</v>
      </c>
      <c r="AI73" s="4">
        <v>1727376</v>
      </c>
      <c r="AJ73" s="4">
        <v>2013998</v>
      </c>
      <c r="AK73" s="4">
        <v>2300620</v>
      </c>
      <c r="AL73" s="4">
        <v>2587242</v>
      </c>
      <c r="AM73" s="4">
        <v>2873863</v>
      </c>
      <c r="AN73" s="154">
        <v>199122</v>
      </c>
    </row>
    <row r="74" spans="1:40" x14ac:dyDescent="0.2">
      <c r="A74" s="1">
        <v>2019</v>
      </c>
      <c r="B74" s="2" t="s">
        <v>94</v>
      </c>
      <c r="C74" s="2" t="s">
        <v>94</v>
      </c>
      <c r="D74" s="1" t="s">
        <v>447</v>
      </c>
      <c r="E74" s="3">
        <v>2601749</v>
      </c>
      <c r="F74" s="3">
        <v>365</v>
      </c>
      <c r="G74" s="3">
        <v>12807</v>
      </c>
      <c r="H74" s="1">
        <v>0</v>
      </c>
      <c r="I74" s="3">
        <v>2601384</v>
      </c>
      <c r="J74" s="3">
        <v>2588577</v>
      </c>
      <c r="K74" s="3">
        <v>2588577</v>
      </c>
      <c r="L74" s="3">
        <v>73731</v>
      </c>
      <c r="M74" s="3">
        <v>322540</v>
      </c>
      <c r="N74" s="3">
        <v>34233</v>
      </c>
      <c r="O74" s="3">
        <v>32254</v>
      </c>
      <c r="P74" s="3">
        <v>167397</v>
      </c>
      <c r="Q74" s="3">
        <v>1971229</v>
      </c>
      <c r="R74" s="3">
        <v>1958422</v>
      </c>
      <c r="S74" s="3">
        <v>1958422</v>
      </c>
      <c r="T74" s="3">
        <v>260138</v>
      </c>
      <c r="U74" s="3">
        <v>260138</v>
      </c>
      <c r="V74" s="3">
        <v>260138</v>
      </c>
      <c r="W74" s="3">
        <v>260138</v>
      </c>
      <c r="X74" s="3">
        <v>258004</v>
      </c>
      <c r="Y74" s="3">
        <v>258004</v>
      </c>
      <c r="Z74" s="4">
        <v>258004</v>
      </c>
      <c r="AA74" s="4">
        <v>258004</v>
      </c>
      <c r="AB74" s="4">
        <v>258004</v>
      </c>
      <c r="AC74" s="4">
        <v>258005</v>
      </c>
      <c r="AD74" s="4">
        <v>260138</v>
      </c>
      <c r="AE74" s="4">
        <v>520276</v>
      </c>
      <c r="AF74" s="4">
        <v>780414</v>
      </c>
      <c r="AG74" s="4">
        <v>1040552</v>
      </c>
      <c r="AH74" s="4">
        <v>1298556</v>
      </c>
      <c r="AI74" s="4">
        <v>1556560</v>
      </c>
      <c r="AJ74" s="4">
        <v>1814564</v>
      </c>
      <c r="AK74" s="4">
        <v>2072568</v>
      </c>
      <c r="AL74" s="4">
        <v>2330572</v>
      </c>
      <c r="AM74" s="4">
        <v>2588577</v>
      </c>
      <c r="AN74" s="154">
        <v>207745</v>
      </c>
    </row>
    <row r="75" spans="1:40" x14ac:dyDescent="0.2">
      <c r="A75" s="1">
        <v>2019</v>
      </c>
      <c r="B75" s="2" t="s">
        <v>95</v>
      </c>
      <c r="C75" s="2" t="s">
        <v>95</v>
      </c>
      <c r="D75" s="1" t="s">
        <v>448</v>
      </c>
      <c r="E75" s="3">
        <v>5258190</v>
      </c>
      <c r="F75" s="1">
        <v>514</v>
      </c>
      <c r="G75" s="3">
        <v>19656</v>
      </c>
      <c r="H75" s="1">
        <v>0</v>
      </c>
      <c r="I75" s="3">
        <v>5257676</v>
      </c>
      <c r="J75" s="3">
        <v>5238020</v>
      </c>
      <c r="K75" s="3">
        <v>5238020</v>
      </c>
      <c r="L75" s="3">
        <v>103894</v>
      </c>
      <c r="M75" s="3">
        <v>485777</v>
      </c>
      <c r="N75" s="3">
        <v>59982</v>
      </c>
      <c r="O75" s="3">
        <v>57869</v>
      </c>
      <c r="P75" s="3">
        <v>257679</v>
      </c>
      <c r="Q75" s="3">
        <v>4292475</v>
      </c>
      <c r="R75" s="3">
        <v>4272819</v>
      </c>
      <c r="S75" s="3">
        <v>4272819</v>
      </c>
      <c r="T75" s="3">
        <v>525768</v>
      </c>
      <c r="U75" s="3">
        <v>525768</v>
      </c>
      <c r="V75" s="3">
        <v>525768</v>
      </c>
      <c r="W75" s="3">
        <v>525768</v>
      </c>
      <c r="X75" s="3">
        <v>522491</v>
      </c>
      <c r="Y75" s="3">
        <v>522491</v>
      </c>
      <c r="Z75" s="4">
        <v>522492</v>
      </c>
      <c r="AA75" s="4">
        <v>522492</v>
      </c>
      <c r="AB75" s="4">
        <v>522492</v>
      </c>
      <c r="AC75" s="4">
        <v>522490</v>
      </c>
      <c r="AD75" s="4">
        <v>525768</v>
      </c>
      <c r="AE75" s="4">
        <v>1051536</v>
      </c>
      <c r="AF75" s="4">
        <v>1577304</v>
      </c>
      <c r="AG75" s="4">
        <v>2103072</v>
      </c>
      <c r="AH75" s="4">
        <v>2625563</v>
      </c>
      <c r="AI75" s="4">
        <v>3148054</v>
      </c>
      <c r="AJ75" s="4">
        <v>3670546</v>
      </c>
      <c r="AK75" s="4">
        <v>4193038</v>
      </c>
      <c r="AL75" s="4">
        <v>4715530</v>
      </c>
      <c r="AM75" s="4">
        <v>5238020</v>
      </c>
      <c r="AN75" s="154">
        <v>368940</v>
      </c>
    </row>
    <row r="76" spans="1:40" x14ac:dyDescent="0.2">
      <c r="A76" s="1">
        <v>2019</v>
      </c>
      <c r="B76" s="2" t="s">
        <v>96</v>
      </c>
      <c r="C76" s="2" t="s">
        <v>96</v>
      </c>
      <c r="D76" s="1" t="s">
        <v>449</v>
      </c>
      <c r="E76" s="3">
        <v>2511756</v>
      </c>
      <c r="F76" s="3">
        <v>464</v>
      </c>
      <c r="G76" s="3">
        <v>10966</v>
      </c>
      <c r="H76" s="1">
        <v>0</v>
      </c>
      <c r="I76" s="3">
        <v>2511292</v>
      </c>
      <c r="J76" s="3">
        <v>2500326</v>
      </c>
      <c r="K76" s="3">
        <v>2500326</v>
      </c>
      <c r="L76" s="3">
        <v>93840</v>
      </c>
      <c r="M76" s="3">
        <v>288261</v>
      </c>
      <c r="N76" s="3">
        <v>33096</v>
      </c>
      <c r="O76" s="3">
        <v>30822</v>
      </c>
      <c r="P76" s="3">
        <v>143334</v>
      </c>
      <c r="Q76" s="3">
        <v>1921939</v>
      </c>
      <c r="R76" s="3">
        <v>1910973</v>
      </c>
      <c r="S76" s="3">
        <v>1910973</v>
      </c>
      <c r="T76" s="3">
        <v>251129</v>
      </c>
      <c r="U76" s="3">
        <v>251129</v>
      </c>
      <c r="V76" s="3">
        <v>251129</v>
      </c>
      <c r="W76" s="3">
        <v>251129</v>
      </c>
      <c r="X76" s="3">
        <v>249302</v>
      </c>
      <c r="Y76" s="3">
        <v>249302</v>
      </c>
      <c r="Z76" s="4">
        <v>249302</v>
      </c>
      <c r="AA76" s="4">
        <v>249302</v>
      </c>
      <c r="AB76" s="4">
        <v>249302</v>
      </c>
      <c r="AC76" s="4">
        <v>249300</v>
      </c>
      <c r="AD76" s="4">
        <v>251129</v>
      </c>
      <c r="AE76" s="4">
        <v>502258</v>
      </c>
      <c r="AF76" s="4">
        <v>753387</v>
      </c>
      <c r="AG76" s="4">
        <v>1004516</v>
      </c>
      <c r="AH76" s="4">
        <v>1253818</v>
      </c>
      <c r="AI76" s="4">
        <v>1503120</v>
      </c>
      <c r="AJ76" s="4">
        <v>1752422</v>
      </c>
      <c r="AK76" s="4">
        <v>2001724</v>
      </c>
      <c r="AL76" s="4">
        <v>2251026</v>
      </c>
      <c r="AM76" s="4">
        <v>2500326</v>
      </c>
      <c r="AN76" s="154">
        <v>184105</v>
      </c>
    </row>
    <row r="77" spans="1:40" x14ac:dyDescent="0.2">
      <c r="A77" s="1">
        <v>2019</v>
      </c>
      <c r="B77" s="2" t="s">
        <v>97</v>
      </c>
      <c r="C77" s="2" t="s">
        <v>97</v>
      </c>
      <c r="D77" s="1" t="s">
        <v>450</v>
      </c>
      <c r="E77" s="3">
        <v>2128935</v>
      </c>
      <c r="F77" s="3">
        <v>614</v>
      </c>
      <c r="G77" s="3">
        <v>9972</v>
      </c>
      <c r="H77" s="1">
        <v>0</v>
      </c>
      <c r="I77" s="3">
        <v>2128321</v>
      </c>
      <c r="J77" s="3">
        <v>2118349</v>
      </c>
      <c r="K77" s="3">
        <v>2118349</v>
      </c>
      <c r="L77" s="3">
        <v>124002</v>
      </c>
      <c r="M77" s="3">
        <v>277044</v>
      </c>
      <c r="N77" s="3">
        <v>33075</v>
      </c>
      <c r="O77" s="3">
        <v>27929</v>
      </c>
      <c r="P77" s="3">
        <v>136258</v>
      </c>
      <c r="Q77" s="3">
        <v>1530013</v>
      </c>
      <c r="R77" s="3">
        <v>1520041</v>
      </c>
      <c r="S77" s="3">
        <v>1520041</v>
      </c>
      <c r="T77" s="3">
        <v>212832</v>
      </c>
      <c r="U77" s="3">
        <v>212832</v>
      </c>
      <c r="V77" s="3">
        <v>212832</v>
      </c>
      <c r="W77" s="3">
        <v>212832</v>
      </c>
      <c r="X77" s="3">
        <v>211170</v>
      </c>
      <c r="Y77" s="3">
        <v>211170</v>
      </c>
      <c r="Z77" s="4">
        <v>211170</v>
      </c>
      <c r="AA77" s="4">
        <v>211170</v>
      </c>
      <c r="AB77" s="4">
        <v>211170</v>
      </c>
      <c r="AC77" s="4">
        <v>211171</v>
      </c>
      <c r="AD77" s="4">
        <v>212832</v>
      </c>
      <c r="AE77" s="4">
        <v>425664</v>
      </c>
      <c r="AF77" s="4">
        <v>638496</v>
      </c>
      <c r="AG77" s="4">
        <v>851328</v>
      </c>
      <c r="AH77" s="4">
        <v>1062498</v>
      </c>
      <c r="AI77" s="4">
        <v>1273668</v>
      </c>
      <c r="AJ77" s="4">
        <v>1484838</v>
      </c>
      <c r="AK77" s="4">
        <v>1696008</v>
      </c>
      <c r="AL77" s="4">
        <v>1907178</v>
      </c>
      <c r="AM77" s="4">
        <v>2118349</v>
      </c>
      <c r="AN77" s="154">
        <v>185250</v>
      </c>
    </row>
    <row r="78" spans="1:40" x14ac:dyDescent="0.2">
      <c r="A78" s="1">
        <v>2019</v>
      </c>
      <c r="B78" s="2" t="s">
        <v>98</v>
      </c>
      <c r="C78" s="2" t="s">
        <v>98</v>
      </c>
      <c r="D78" s="1" t="s">
        <v>451</v>
      </c>
      <c r="E78" s="3">
        <v>67361983</v>
      </c>
      <c r="F78" s="3">
        <v>6070</v>
      </c>
      <c r="G78" s="3">
        <v>227927</v>
      </c>
      <c r="H78" s="1">
        <v>0</v>
      </c>
      <c r="I78" s="3">
        <v>67355913</v>
      </c>
      <c r="J78" s="3">
        <v>67127986</v>
      </c>
      <c r="K78" s="3">
        <v>67127986</v>
      </c>
      <c r="L78" s="3">
        <v>1226618</v>
      </c>
      <c r="M78" s="3">
        <v>5104718</v>
      </c>
      <c r="N78" s="3">
        <v>759714</v>
      </c>
      <c r="O78" s="3">
        <v>592719</v>
      </c>
      <c r="P78" s="3">
        <v>2992478</v>
      </c>
      <c r="Q78" s="3">
        <v>56679666</v>
      </c>
      <c r="R78" s="3">
        <v>56451739</v>
      </c>
      <c r="S78" s="3">
        <v>56451739</v>
      </c>
      <c r="T78" s="3">
        <v>6735591</v>
      </c>
      <c r="U78" s="3">
        <v>6735591</v>
      </c>
      <c r="V78" s="3">
        <v>6735591</v>
      </c>
      <c r="W78" s="3">
        <v>6735591</v>
      </c>
      <c r="X78" s="3">
        <v>6697604</v>
      </c>
      <c r="Y78" s="3">
        <v>6697604</v>
      </c>
      <c r="Z78" s="4">
        <v>6697604</v>
      </c>
      <c r="AA78" s="4">
        <v>6697604</v>
      </c>
      <c r="AB78" s="4">
        <v>6697604</v>
      </c>
      <c r="AC78" s="4">
        <v>6697602</v>
      </c>
      <c r="AD78" s="4">
        <v>6735591</v>
      </c>
      <c r="AE78" s="4">
        <v>13471182</v>
      </c>
      <c r="AF78" s="4">
        <v>20206773</v>
      </c>
      <c r="AG78" s="4">
        <v>26942364</v>
      </c>
      <c r="AH78" s="4">
        <v>33639968</v>
      </c>
      <c r="AI78" s="4">
        <v>40337572</v>
      </c>
      <c r="AJ78" s="4">
        <v>47035176</v>
      </c>
      <c r="AK78" s="4">
        <v>53732780</v>
      </c>
      <c r="AL78" s="4">
        <v>60430384</v>
      </c>
      <c r="AM78" s="4">
        <v>67127986</v>
      </c>
      <c r="AN78" s="154">
        <v>4340347</v>
      </c>
    </row>
    <row r="79" spans="1:40" x14ac:dyDescent="0.2">
      <c r="A79" s="1">
        <v>2019</v>
      </c>
      <c r="B79" s="2" t="s">
        <v>99</v>
      </c>
      <c r="C79" s="2" t="s">
        <v>99</v>
      </c>
      <c r="D79" s="1" t="s">
        <v>452</v>
      </c>
      <c r="E79" s="3">
        <v>9217830</v>
      </c>
      <c r="F79" s="3">
        <v>1426</v>
      </c>
      <c r="G79" s="3">
        <v>36751</v>
      </c>
      <c r="H79" s="1">
        <v>0</v>
      </c>
      <c r="I79" s="3">
        <v>9216404</v>
      </c>
      <c r="J79" s="3">
        <v>9179653</v>
      </c>
      <c r="K79" s="3">
        <v>9179653</v>
      </c>
      <c r="L79" s="3">
        <v>288222</v>
      </c>
      <c r="M79" s="3">
        <v>873099</v>
      </c>
      <c r="N79" s="3">
        <v>109244</v>
      </c>
      <c r="O79" s="3">
        <v>95473</v>
      </c>
      <c r="P79" s="3">
        <v>480379</v>
      </c>
      <c r="Q79" s="3">
        <v>7369987</v>
      </c>
      <c r="R79" s="3">
        <v>7333236</v>
      </c>
      <c r="S79" s="3">
        <v>7333236</v>
      </c>
      <c r="T79" s="3">
        <v>921640</v>
      </c>
      <c r="U79" s="3">
        <v>921640</v>
      </c>
      <c r="V79" s="3">
        <v>921640</v>
      </c>
      <c r="W79" s="3">
        <v>921640</v>
      </c>
      <c r="X79" s="3">
        <v>915516</v>
      </c>
      <c r="Y79" s="3">
        <v>915516</v>
      </c>
      <c r="Z79" s="4">
        <v>915515</v>
      </c>
      <c r="AA79" s="4">
        <v>915515</v>
      </c>
      <c r="AB79" s="4">
        <v>915515</v>
      </c>
      <c r="AC79" s="4">
        <v>915516</v>
      </c>
      <c r="AD79" s="4">
        <v>921640</v>
      </c>
      <c r="AE79" s="4">
        <v>1843280</v>
      </c>
      <c r="AF79" s="4">
        <v>2764920</v>
      </c>
      <c r="AG79" s="4">
        <v>3686560</v>
      </c>
      <c r="AH79" s="4">
        <v>4602076</v>
      </c>
      <c r="AI79" s="4">
        <v>5517592</v>
      </c>
      <c r="AJ79" s="4">
        <v>6433107</v>
      </c>
      <c r="AK79" s="4">
        <v>7348622</v>
      </c>
      <c r="AL79" s="4">
        <v>8264137</v>
      </c>
      <c r="AM79" s="4">
        <v>9179653</v>
      </c>
      <c r="AN79" s="154">
        <v>654955</v>
      </c>
    </row>
    <row r="80" spans="1:40" x14ac:dyDescent="0.2">
      <c r="A80" s="1">
        <v>2019</v>
      </c>
      <c r="B80" s="2" t="s">
        <v>100</v>
      </c>
      <c r="C80" s="2" t="s">
        <v>100</v>
      </c>
      <c r="D80" s="1" t="s">
        <v>453</v>
      </c>
      <c r="E80" s="3">
        <v>16351833</v>
      </c>
      <c r="F80" s="3">
        <v>3217</v>
      </c>
      <c r="G80" s="3">
        <v>70463</v>
      </c>
      <c r="H80" s="1">
        <v>0</v>
      </c>
      <c r="I80" s="3">
        <v>16348616</v>
      </c>
      <c r="J80" s="3">
        <v>16278153</v>
      </c>
      <c r="K80" s="3">
        <v>16278153</v>
      </c>
      <c r="L80" s="3">
        <v>650175</v>
      </c>
      <c r="M80" s="3">
        <v>1562045</v>
      </c>
      <c r="N80" s="3">
        <v>185390</v>
      </c>
      <c r="O80" s="3">
        <v>164684</v>
      </c>
      <c r="P80" s="3">
        <v>921024</v>
      </c>
      <c r="Q80" s="3">
        <v>12865298</v>
      </c>
      <c r="R80" s="3">
        <v>12794835</v>
      </c>
      <c r="S80" s="3">
        <v>12794835</v>
      </c>
      <c r="T80" s="3">
        <v>1634862</v>
      </c>
      <c r="U80" s="3">
        <v>1634862</v>
      </c>
      <c r="V80" s="3">
        <v>1634862</v>
      </c>
      <c r="W80" s="3">
        <v>1634862</v>
      </c>
      <c r="X80" s="3">
        <v>1623118</v>
      </c>
      <c r="Y80" s="3">
        <v>1623118</v>
      </c>
      <c r="Z80" s="4">
        <v>1623117</v>
      </c>
      <c r="AA80" s="4">
        <v>1623117</v>
      </c>
      <c r="AB80" s="4">
        <v>1623117</v>
      </c>
      <c r="AC80" s="4">
        <v>1623118</v>
      </c>
      <c r="AD80" s="4">
        <v>1634862</v>
      </c>
      <c r="AE80" s="4">
        <v>3269724</v>
      </c>
      <c r="AF80" s="4">
        <v>4904586</v>
      </c>
      <c r="AG80" s="4">
        <v>6539448</v>
      </c>
      <c r="AH80" s="4">
        <v>8162566</v>
      </c>
      <c r="AI80" s="4">
        <v>9785684</v>
      </c>
      <c r="AJ80" s="4">
        <v>11408801</v>
      </c>
      <c r="AK80" s="4">
        <v>13031918</v>
      </c>
      <c r="AL80" s="4">
        <v>14655035</v>
      </c>
      <c r="AM80" s="4">
        <v>16278153</v>
      </c>
      <c r="AN80" s="154">
        <v>1225741</v>
      </c>
    </row>
    <row r="81" spans="1:40" x14ac:dyDescent="0.2">
      <c r="A81" s="1">
        <v>2019</v>
      </c>
      <c r="B81" s="2" t="s">
        <v>101</v>
      </c>
      <c r="C81" s="2" t="s">
        <v>101</v>
      </c>
      <c r="D81" s="1" t="s">
        <v>454</v>
      </c>
      <c r="E81" s="3">
        <v>3247760</v>
      </c>
      <c r="F81" s="3">
        <v>647</v>
      </c>
      <c r="G81" s="3">
        <v>12827</v>
      </c>
      <c r="H81" s="1">
        <v>0</v>
      </c>
      <c r="I81" s="3">
        <v>3247113</v>
      </c>
      <c r="J81" s="3">
        <v>3234286</v>
      </c>
      <c r="K81" s="3">
        <v>3234286</v>
      </c>
      <c r="L81" s="3">
        <v>130705</v>
      </c>
      <c r="M81" s="3">
        <v>305512</v>
      </c>
      <c r="N81" s="3">
        <v>36972</v>
      </c>
      <c r="O81" s="3">
        <v>33162</v>
      </c>
      <c r="P81" s="3">
        <v>167658</v>
      </c>
      <c r="Q81" s="3">
        <v>2573104</v>
      </c>
      <c r="R81" s="3">
        <v>2560277</v>
      </c>
      <c r="S81" s="3">
        <v>2560277</v>
      </c>
      <c r="T81" s="3">
        <v>324711</v>
      </c>
      <c r="U81" s="3">
        <v>324711</v>
      </c>
      <c r="V81" s="3">
        <v>324711</v>
      </c>
      <c r="W81" s="3">
        <v>324711</v>
      </c>
      <c r="X81" s="3">
        <v>322574</v>
      </c>
      <c r="Y81" s="3">
        <v>322574</v>
      </c>
      <c r="Z81" s="4">
        <v>322574</v>
      </c>
      <c r="AA81" s="4">
        <v>322574</v>
      </c>
      <c r="AB81" s="4">
        <v>322574</v>
      </c>
      <c r="AC81" s="4">
        <v>322572</v>
      </c>
      <c r="AD81" s="4">
        <v>324711</v>
      </c>
      <c r="AE81" s="4">
        <v>649422</v>
      </c>
      <c r="AF81" s="4">
        <v>974133</v>
      </c>
      <c r="AG81" s="4">
        <v>1298844</v>
      </c>
      <c r="AH81" s="4">
        <v>1621418</v>
      </c>
      <c r="AI81" s="4">
        <v>1943992</v>
      </c>
      <c r="AJ81" s="4">
        <v>2266566</v>
      </c>
      <c r="AK81" s="4">
        <v>2589140</v>
      </c>
      <c r="AL81" s="4">
        <v>2911714</v>
      </c>
      <c r="AM81" s="4">
        <v>3234286</v>
      </c>
      <c r="AN81" s="154">
        <v>223017</v>
      </c>
    </row>
    <row r="82" spans="1:40" x14ac:dyDescent="0.2">
      <c r="A82" s="1">
        <v>2019</v>
      </c>
      <c r="B82" s="2" t="s">
        <v>102</v>
      </c>
      <c r="C82" s="2" t="s">
        <v>102</v>
      </c>
      <c r="D82" s="1" t="s">
        <v>455</v>
      </c>
      <c r="E82" s="3">
        <v>105790621</v>
      </c>
      <c r="F82" s="3">
        <v>14412</v>
      </c>
      <c r="G82" s="3">
        <v>380515</v>
      </c>
      <c r="H82" s="1">
        <v>0</v>
      </c>
      <c r="I82" s="3">
        <v>105776209</v>
      </c>
      <c r="J82" s="3">
        <v>105395694</v>
      </c>
      <c r="K82" s="3">
        <v>105395694</v>
      </c>
      <c r="L82" s="3">
        <v>2905716</v>
      </c>
      <c r="M82" s="3">
        <v>8702902</v>
      </c>
      <c r="N82" s="3">
        <v>1265223</v>
      </c>
      <c r="O82" s="3">
        <v>1073457</v>
      </c>
      <c r="P82" s="3">
        <v>5007452</v>
      </c>
      <c r="Q82" s="3">
        <v>86821459</v>
      </c>
      <c r="R82" s="3">
        <v>86440944</v>
      </c>
      <c r="S82" s="3">
        <v>86440944</v>
      </c>
      <c r="T82" s="3">
        <v>10577621</v>
      </c>
      <c r="U82" s="3">
        <v>10577621</v>
      </c>
      <c r="V82" s="3">
        <v>10577621</v>
      </c>
      <c r="W82" s="3">
        <v>10577621</v>
      </c>
      <c r="X82" s="3">
        <v>10514202</v>
      </c>
      <c r="Y82" s="3">
        <v>10514202</v>
      </c>
      <c r="Z82" s="4">
        <v>10514202</v>
      </c>
      <c r="AA82" s="4">
        <v>10514202</v>
      </c>
      <c r="AB82" s="4">
        <v>10514202</v>
      </c>
      <c r="AC82" s="4">
        <v>10514200</v>
      </c>
      <c r="AD82" s="4">
        <v>10577621</v>
      </c>
      <c r="AE82" s="4">
        <v>21155242</v>
      </c>
      <c r="AF82" s="4">
        <v>31732863</v>
      </c>
      <c r="AG82" s="4">
        <v>42310484</v>
      </c>
      <c r="AH82" s="4">
        <v>52824686</v>
      </c>
      <c r="AI82" s="4">
        <v>63338888</v>
      </c>
      <c r="AJ82" s="4">
        <v>73853090</v>
      </c>
      <c r="AK82" s="4">
        <v>84367292</v>
      </c>
      <c r="AL82" s="4">
        <v>94881494</v>
      </c>
      <c r="AM82" s="4">
        <v>105395694</v>
      </c>
      <c r="AN82" s="154">
        <v>7310665</v>
      </c>
    </row>
    <row r="83" spans="1:40" x14ac:dyDescent="0.2">
      <c r="A83" s="1">
        <v>2019</v>
      </c>
      <c r="B83" s="2" t="s">
        <v>103</v>
      </c>
      <c r="C83" s="2" t="s">
        <v>103</v>
      </c>
      <c r="D83" s="1" t="s">
        <v>456</v>
      </c>
      <c r="E83" s="3">
        <v>6944576</v>
      </c>
      <c r="F83" s="3">
        <v>1061</v>
      </c>
      <c r="G83" s="3">
        <v>28416</v>
      </c>
      <c r="H83" s="1">
        <v>0</v>
      </c>
      <c r="I83" s="3">
        <v>6943515</v>
      </c>
      <c r="J83" s="3">
        <v>6915099</v>
      </c>
      <c r="K83" s="3">
        <v>6915099</v>
      </c>
      <c r="L83" s="3">
        <v>214491</v>
      </c>
      <c r="M83" s="3">
        <v>684041</v>
      </c>
      <c r="N83" s="3">
        <v>75964</v>
      </c>
      <c r="O83" s="3">
        <v>75325</v>
      </c>
      <c r="P83" s="3">
        <v>382267</v>
      </c>
      <c r="Q83" s="3">
        <v>5511427</v>
      </c>
      <c r="R83" s="3">
        <v>5483011</v>
      </c>
      <c r="S83" s="3">
        <v>5483011</v>
      </c>
      <c r="T83" s="3">
        <v>694352</v>
      </c>
      <c r="U83" s="3">
        <v>694352</v>
      </c>
      <c r="V83" s="3">
        <v>694352</v>
      </c>
      <c r="W83" s="3">
        <v>694352</v>
      </c>
      <c r="X83" s="3">
        <v>689615</v>
      </c>
      <c r="Y83" s="3">
        <v>689615</v>
      </c>
      <c r="Z83" s="4">
        <v>689615</v>
      </c>
      <c r="AA83" s="4">
        <v>689615</v>
      </c>
      <c r="AB83" s="4">
        <v>689615</v>
      </c>
      <c r="AC83" s="4">
        <v>689616</v>
      </c>
      <c r="AD83" s="4">
        <v>694352</v>
      </c>
      <c r="AE83" s="4">
        <v>1388704</v>
      </c>
      <c r="AF83" s="4">
        <v>2083056</v>
      </c>
      <c r="AG83" s="4">
        <v>2777408</v>
      </c>
      <c r="AH83" s="4">
        <v>3467023</v>
      </c>
      <c r="AI83" s="4">
        <v>4156638</v>
      </c>
      <c r="AJ83" s="4">
        <v>4846253</v>
      </c>
      <c r="AK83" s="4">
        <v>5535868</v>
      </c>
      <c r="AL83" s="4">
        <v>6225483</v>
      </c>
      <c r="AM83" s="4">
        <v>6915099</v>
      </c>
      <c r="AN83" s="154">
        <v>490062</v>
      </c>
    </row>
    <row r="84" spans="1:40" x14ac:dyDescent="0.2">
      <c r="A84" s="1">
        <v>2019</v>
      </c>
      <c r="B84" s="2" t="s">
        <v>104</v>
      </c>
      <c r="C84" s="2" t="s">
        <v>104</v>
      </c>
      <c r="D84" s="1" t="s">
        <v>457</v>
      </c>
      <c r="E84" s="3">
        <v>7001233</v>
      </c>
      <c r="F84" s="3">
        <v>1476</v>
      </c>
      <c r="G84" s="3">
        <v>34149</v>
      </c>
      <c r="H84" s="1">
        <v>0</v>
      </c>
      <c r="I84" s="3">
        <v>6999757</v>
      </c>
      <c r="J84" s="3">
        <v>6965608</v>
      </c>
      <c r="K84" s="3">
        <v>6965608</v>
      </c>
      <c r="L84" s="3">
        <v>298276</v>
      </c>
      <c r="M84" s="3">
        <v>803294</v>
      </c>
      <c r="N84" s="3">
        <v>88260</v>
      </c>
      <c r="O84" s="3">
        <v>97638</v>
      </c>
      <c r="P84" s="3">
        <v>446358</v>
      </c>
      <c r="Q84" s="3">
        <v>5265931</v>
      </c>
      <c r="R84" s="3">
        <v>5231782</v>
      </c>
      <c r="S84" s="3">
        <v>5231782</v>
      </c>
      <c r="T84" s="3">
        <v>699976</v>
      </c>
      <c r="U84" s="3">
        <v>699976</v>
      </c>
      <c r="V84" s="3">
        <v>699976</v>
      </c>
      <c r="W84" s="3">
        <v>699976</v>
      </c>
      <c r="X84" s="3">
        <v>694284</v>
      </c>
      <c r="Y84" s="3">
        <v>694284</v>
      </c>
      <c r="Z84" s="4">
        <v>694284</v>
      </c>
      <c r="AA84" s="4">
        <v>694284</v>
      </c>
      <c r="AB84" s="4">
        <v>694284</v>
      </c>
      <c r="AC84" s="4">
        <v>694284</v>
      </c>
      <c r="AD84" s="4">
        <v>699976</v>
      </c>
      <c r="AE84" s="4">
        <v>1399952</v>
      </c>
      <c r="AF84" s="4">
        <v>2099928</v>
      </c>
      <c r="AG84" s="4">
        <v>2799904</v>
      </c>
      <c r="AH84" s="4">
        <v>3494188</v>
      </c>
      <c r="AI84" s="4">
        <v>4188472</v>
      </c>
      <c r="AJ84" s="4">
        <v>4882756</v>
      </c>
      <c r="AK84" s="4">
        <v>5577040</v>
      </c>
      <c r="AL84" s="4">
        <v>6271324</v>
      </c>
      <c r="AM84" s="4">
        <v>6965608</v>
      </c>
      <c r="AN84" s="154">
        <v>608563</v>
      </c>
    </row>
    <row r="85" spans="1:40" x14ac:dyDescent="0.2">
      <c r="A85" s="1">
        <v>2019</v>
      </c>
      <c r="B85" s="2" t="s">
        <v>105</v>
      </c>
      <c r="C85" s="2" t="s">
        <v>105</v>
      </c>
      <c r="D85" s="1" t="s">
        <v>458</v>
      </c>
      <c r="E85" s="3">
        <v>1078031</v>
      </c>
      <c r="F85" s="3">
        <v>332</v>
      </c>
      <c r="G85" s="3">
        <v>4933</v>
      </c>
      <c r="H85" s="1">
        <v>0</v>
      </c>
      <c r="I85" s="3">
        <v>1077699</v>
      </c>
      <c r="J85" s="3">
        <v>1072766</v>
      </c>
      <c r="K85" s="3">
        <v>1072766</v>
      </c>
      <c r="L85" s="3">
        <v>67028</v>
      </c>
      <c r="M85" s="3">
        <v>101632</v>
      </c>
      <c r="N85" s="3">
        <v>13434</v>
      </c>
      <c r="O85" s="3">
        <v>8325</v>
      </c>
      <c r="P85" s="3">
        <v>64484</v>
      </c>
      <c r="Q85" s="3">
        <v>822796</v>
      </c>
      <c r="R85" s="3">
        <v>817863</v>
      </c>
      <c r="S85" s="3">
        <v>817863</v>
      </c>
      <c r="T85" s="3">
        <v>107770</v>
      </c>
      <c r="U85" s="3">
        <v>107770</v>
      </c>
      <c r="V85" s="3">
        <v>107770</v>
      </c>
      <c r="W85" s="3">
        <v>107770</v>
      </c>
      <c r="X85" s="3">
        <v>106948</v>
      </c>
      <c r="Y85" s="3">
        <v>106948</v>
      </c>
      <c r="Z85" s="4">
        <v>106948</v>
      </c>
      <c r="AA85" s="4">
        <v>106948</v>
      </c>
      <c r="AB85" s="4">
        <v>106948</v>
      </c>
      <c r="AC85" s="4">
        <v>106946</v>
      </c>
      <c r="AD85" s="4">
        <v>107770</v>
      </c>
      <c r="AE85" s="4">
        <v>215540</v>
      </c>
      <c r="AF85" s="4">
        <v>323310</v>
      </c>
      <c r="AG85" s="4">
        <v>431080</v>
      </c>
      <c r="AH85" s="4">
        <v>538028</v>
      </c>
      <c r="AI85" s="4">
        <v>644976</v>
      </c>
      <c r="AJ85" s="4">
        <v>751924</v>
      </c>
      <c r="AK85" s="4">
        <v>858872</v>
      </c>
      <c r="AL85" s="4">
        <v>965820</v>
      </c>
      <c r="AM85" s="4">
        <v>1072766</v>
      </c>
      <c r="AN85" s="154">
        <v>91108</v>
      </c>
    </row>
    <row r="86" spans="1:40" x14ac:dyDescent="0.2">
      <c r="A86" s="1">
        <v>2019</v>
      </c>
      <c r="B86" s="2" t="s">
        <v>106</v>
      </c>
      <c r="C86" s="2" t="s">
        <v>106</v>
      </c>
      <c r="D86" s="1" t="s">
        <v>459</v>
      </c>
      <c r="E86" s="3">
        <v>15850803</v>
      </c>
      <c r="F86" s="3">
        <v>2007</v>
      </c>
      <c r="G86" s="3">
        <v>52481</v>
      </c>
      <c r="H86" s="3">
        <v>183366</v>
      </c>
      <c r="I86" s="3">
        <v>15848796</v>
      </c>
      <c r="J86" s="3">
        <v>15796315</v>
      </c>
      <c r="K86" s="3">
        <v>15612949</v>
      </c>
      <c r="L86" s="3">
        <v>405521</v>
      </c>
      <c r="M86" s="3">
        <v>1143889</v>
      </c>
      <c r="N86" s="3">
        <v>170853</v>
      </c>
      <c r="O86" s="3">
        <v>139822</v>
      </c>
      <c r="P86" s="3">
        <v>685977</v>
      </c>
      <c r="Q86" s="3">
        <v>13302734</v>
      </c>
      <c r="R86" s="3">
        <v>13250253</v>
      </c>
      <c r="S86" s="3">
        <v>13066887</v>
      </c>
      <c r="T86" s="3">
        <v>1584880</v>
      </c>
      <c r="U86" s="3">
        <v>1584880</v>
      </c>
      <c r="V86" s="3">
        <v>1584880</v>
      </c>
      <c r="W86" s="3">
        <v>1584880</v>
      </c>
      <c r="X86" s="3">
        <v>1576133</v>
      </c>
      <c r="Y86" s="3">
        <v>1576133</v>
      </c>
      <c r="Z86" s="4">
        <v>1530291</v>
      </c>
      <c r="AA86" s="4">
        <v>1530291</v>
      </c>
      <c r="AB86" s="4">
        <v>1530291</v>
      </c>
      <c r="AC86" s="4">
        <v>1530290</v>
      </c>
      <c r="AD86" s="4">
        <v>1584880</v>
      </c>
      <c r="AE86" s="4">
        <v>3169760</v>
      </c>
      <c r="AF86" s="4">
        <v>4754640</v>
      </c>
      <c r="AG86" s="4">
        <v>6339520</v>
      </c>
      <c r="AH86" s="4">
        <v>7915653</v>
      </c>
      <c r="AI86" s="4">
        <v>9491786</v>
      </c>
      <c r="AJ86" s="4">
        <v>11022077</v>
      </c>
      <c r="AK86" s="4">
        <v>12552368</v>
      </c>
      <c r="AL86" s="4">
        <v>14082659</v>
      </c>
      <c r="AM86" s="4">
        <v>15612949</v>
      </c>
      <c r="AN86" s="154">
        <v>987706</v>
      </c>
    </row>
    <row r="87" spans="1:40" x14ac:dyDescent="0.2">
      <c r="A87" s="1">
        <v>2019</v>
      </c>
      <c r="B87" s="2" t="s">
        <v>107</v>
      </c>
      <c r="C87" s="2" t="s">
        <v>107</v>
      </c>
      <c r="D87" s="1" t="s">
        <v>460</v>
      </c>
      <c r="E87" s="3">
        <v>4591399</v>
      </c>
      <c r="F87" s="1">
        <v>979</v>
      </c>
      <c r="G87" s="3">
        <v>18734</v>
      </c>
      <c r="H87" s="3">
        <v>88312</v>
      </c>
      <c r="I87" s="3">
        <v>4590420</v>
      </c>
      <c r="J87" s="3">
        <v>4571686</v>
      </c>
      <c r="K87" s="3">
        <v>4483374</v>
      </c>
      <c r="L87" s="3">
        <v>197733</v>
      </c>
      <c r="M87" s="3">
        <v>437970</v>
      </c>
      <c r="N87" s="3">
        <v>41055</v>
      </c>
      <c r="O87" s="3">
        <v>41610</v>
      </c>
      <c r="P87" s="3">
        <v>244875</v>
      </c>
      <c r="Q87" s="3">
        <v>3627177</v>
      </c>
      <c r="R87" s="3">
        <v>3608443</v>
      </c>
      <c r="S87" s="3">
        <v>3520131</v>
      </c>
      <c r="T87" s="3">
        <v>459042</v>
      </c>
      <c r="U87" s="3">
        <v>459042</v>
      </c>
      <c r="V87" s="3">
        <v>459042</v>
      </c>
      <c r="W87" s="3">
        <v>459042</v>
      </c>
      <c r="X87" s="3">
        <v>455920</v>
      </c>
      <c r="Y87" s="3">
        <v>455920</v>
      </c>
      <c r="Z87" s="4">
        <v>433842</v>
      </c>
      <c r="AA87" s="4">
        <v>433842</v>
      </c>
      <c r="AB87" s="4">
        <v>433842</v>
      </c>
      <c r="AC87" s="4">
        <v>433840</v>
      </c>
      <c r="AD87" s="4">
        <v>459042</v>
      </c>
      <c r="AE87" s="4">
        <v>918084</v>
      </c>
      <c r="AF87" s="4">
        <v>1377126</v>
      </c>
      <c r="AG87" s="4">
        <v>1836168</v>
      </c>
      <c r="AH87" s="4">
        <v>2292088</v>
      </c>
      <c r="AI87" s="4">
        <v>2748008</v>
      </c>
      <c r="AJ87" s="4">
        <v>3181850</v>
      </c>
      <c r="AK87" s="4">
        <v>3615692</v>
      </c>
      <c r="AL87" s="4">
        <v>4049534</v>
      </c>
      <c r="AM87" s="4">
        <v>4483374</v>
      </c>
      <c r="AN87" s="154">
        <v>334018</v>
      </c>
    </row>
    <row r="88" spans="1:40" x14ac:dyDescent="0.2">
      <c r="A88" s="1">
        <v>2019</v>
      </c>
      <c r="B88" s="2" t="s">
        <v>108</v>
      </c>
      <c r="C88" s="2" t="s">
        <v>108</v>
      </c>
      <c r="D88" s="1" t="s">
        <v>461</v>
      </c>
      <c r="E88" s="3">
        <v>246399772</v>
      </c>
      <c r="F88" s="3">
        <v>25640</v>
      </c>
      <c r="G88" s="3">
        <v>825735</v>
      </c>
      <c r="H88" s="3">
        <v>0</v>
      </c>
      <c r="I88" s="3">
        <v>246374132</v>
      </c>
      <c r="J88" s="3">
        <v>245548397</v>
      </c>
      <c r="K88" s="3">
        <v>245548397</v>
      </c>
      <c r="L88" s="3">
        <v>5181288</v>
      </c>
      <c r="M88" s="3">
        <v>20103858</v>
      </c>
      <c r="N88" s="3">
        <v>3017810</v>
      </c>
      <c r="O88" s="3">
        <v>2503767</v>
      </c>
      <c r="P88" s="3">
        <v>10793241</v>
      </c>
      <c r="Q88" s="3">
        <v>204774168</v>
      </c>
      <c r="R88" s="3">
        <v>203948433</v>
      </c>
      <c r="S88" s="3">
        <v>203948433</v>
      </c>
      <c r="T88" s="3">
        <v>24637413</v>
      </c>
      <c r="U88" s="3">
        <v>24637413</v>
      </c>
      <c r="V88" s="3">
        <v>24637413</v>
      </c>
      <c r="W88" s="3">
        <v>24637413</v>
      </c>
      <c r="X88" s="3">
        <v>24499791</v>
      </c>
      <c r="Y88" s="3">
        <v>24499791</v>
      </c>
      <c r="Z88" s="4">
        <v>24499791</v>
      </c>
      <c r="AA88" s="4">
        <v>24499791</v>
      </c>
      <c r="AB88" s="4">
        <v>24499791</v>
      </c>
      <c r="AC88" s="4">
        <v>24499790</v>
      </c>
      <c r="AD88" s="4">
        <v>24637413</v>
      </c>
      <c r="AE88" s="4">
        <v>49274826</v>
      </c>
      <c r="AF88" s="4">
        <v>73912239</v>
      </c>
      <c r="AG88" s="4">
        <v>98549652</v>
      </c>
      <c r="AH88" s="4">
        <v>123049443</v>
      </c>
      <c r="AI88" s="4">
        <v>147549234</v>
      </c>
      <c r="AJ88" s="4">
        <v>172049025</v>
      </c>
      <c r="AK88" s="4">
        <v>196548816</v>
      </c>
      <c r="AL88" s="4">
        <v>221048607</v>
      </c>
      <c r="AM88" s="4">
        <v>245548397</v>
      </c>
      <c r="AN88" s="154">
        <v>14914998</v>
      </c>
    </row>
    <row r="89" spans="1:40" x14ac:dyDescent="0.2">
      <c r="A89" s="1">
        <v>2019</v>
      </c>
      <c r="B89" s="2" t="s">
        <v>109</v>
      </c>
      <c r="C89" s="2" t="s">
        <v>109</v>
      </c>
      <c r="D89" s="1" t="s">
        <v>462</v>
      </c>
      <c r="E89" s="3">
        <v>707769</v>
      </c>
      <c r="F89" s="3">
        <v>166</v>
      </c>
      <c r="G89" s="3">
        <v>2473</v>
      </c>
      <c r="H89" s="1">
        <v>0</v>
      </c>
      <c r="I89" s="3">
        <v>707603</v>
      </c>
      <c r="J89" s="3">
        <v>705130</v>
      </c>
      <c r="K89" s="3">
        <v>705130</v>
      </c>
      <c r="L89" s="3">
        <v>33514</v>
      </c>
      <c r="M89" s="3">
        <v>83740</v>
      </c>
      <c r="N89" s="3">
        <v>10329</v>
      </c>
      <c r="O89" s="3">
        <v>9374</v>
      </c>
      <c r="P89" s="3">
        <v>32327</v>
      </c>
      <c r="Q89" s="3">
        <v>538319</v>
      </c>
      <c r="R89" s="3">
        <v>535846</v>
      </c>
      <c r="S89" s="3">
        <v>535846</v>
      </c>
      <c r="T89" s="3">
        <v>70760</v>
      </c>
      <c r="U89" s="3">
        <v>70760</v>
      </c>
      <c r="V89" s="3">
        <v>70760</v>
      </c>
      <c r="W89" s="3">
        <v>70760</v>
      </c>
      <c r="X89" s="3">
        <v>70348</v>
      </c>
      <c r="Y89" s="3">
        <v>70348</v>
      </c>
      <c r="Z89" s="4">
        <v>70349</v>
      </c>
      <c r="AA89" s="4">
        <v>70349</v>
      </c>
      <c r="AB89" s="4">
        <v>70349</v>
      </c>
      <c r="AC89" s="4">
        <v>70347</v>
      </c>
      <c r="AD89" s="4">
        <v>70760</v>
      </c>
      <c r="AE89" s="4">
        <v>141520</v>
      </c>
      <c r="AF89" s="4">
        <v>212280</v>
      </c>
      <c r="AG89" s="4">
        <v>283040</v>
      </c>
      <c r="AH89" s="4">
        <v>353388</v>
      </c>
      <c r="AI89" s="4">
        <v>423736</v>
      </c>
      <c r="AJ89" s="4">
        <v>494085</v>
      </c>
      <c r="AK89" s="4">
        <v>564434</v>
      </c>
      <c r="AL89" s="4">
        <v>634783</v>
      </c>
      <c r="AM89" s="4">
        <v>705130</v>
      </c>
      <c r="AN89" s="154">
        <v>43594</v>
      </c>
    </row>
    <row r="90" spans="1:40" x14ac:dyDescent="0.2">
      <c r="A90" s="1">
        <v>2019</v>
      </c>
      <c r="B90" s="2" t="s">
        <v>110</v>
      </c>
      <c r="C90" s="2" t="s">
        <v>110</v>
      </c>
      <c r="D90" s="1" t="s">
        <v>463</v>
      </c>
      <c r="E90" s="3">
        <v>5535056</v>
      </c>
      <c r="F90" s="3">
        <v>597</v>
      </c>
      <c r="G90" s="3">
        <v>22036</v>
      </c>
      <c r="H90" s="3">
        <v>0</v>
      </c>
      <c r="I90" s="3">
        <v>5534459</v>
      </c>
      <c r="J90" s="3">
        <v>5512423</v>
      </c>
      <c r="K90" s="3">
        <v>5512423</v>
      </c>
      <c r="L90" s="3">
        <v>120651</v>
      </c>
      <c r="M90" s="3">
        <v>531499</v>
      </c>
      <c r="N90" s="3">
        <v>53170</v>
      </c>
      <c r="O90" s="3">
        <v>56081</v>
      </c>
      <c r="P90" s="3">
        <v>288038</v>
      </c>
      <c r="Q90" s="3">
        <v>4485020</v>
      </c>
      <c r="R90" s="3">
        <v>4462984</v>
      </c>
      <c r="S90" s="3">
        <v>4462984</v>
      </c>
      <c r="T90" s="3">
        <v>553446</v>
      </c>
      <c r="U90" s="3">
        <v>553446</v>
      </c>
      <c r="V90" s="3">
        <v>553446</v>
      </c>
      <c r="W90" s="3">
        <v>553446</v>
      </c>
      <c r="X90" s="3">
        <v>549773</v>
      </c>
      <c r="Y90" s="3">
        <v>549773</v>
      </c>
      <c r="Z90" s="4">
        <v>549773</v>
      </c>
      <c r="AA90" s="4">
        <v>549773</v>
      </c>
      <c r="AB90" s="4">
        <v>549773</v>
      </c>
      <c r="AC90" s="4">
        <v>549774</v>
      </c>
      <c r="AD90" s="4">
        <v>553446</v>
      </c>
      <c r="AE90" s="4">
        <v>1106892</v>
      </c>
      <c r="AF90" s="4">
        <v>1660338</v>
      </c>
      <c r="AG90" s="4">
        <v>2213784</v>
      </c>
      <c r="AH90" s="4">
        <v>2763557</v>
      </c>
      <c r="AI90" s="4">
        <v>3313330</v>
      </c>
      <c r="AJ90" s="4">
        <v>3863103</v>
      </c>
      <c r="AK90" s="4">
        <v>4412876</v>
      </c>
      <c r="AL90" s="4">
        <v>4962649</v>
      </c>
      <c r="AM90" s="4">
        <v>5512423</v>
      </c>
      <c r="AN90" s="154">
        <v>411533</v>
      </c>
    </row>
    <row r="91" spans="1:40" x14ac:dyDescent="0.2">
      <c r="A91" s="1">
        <v>2019</v>
      </c>
      <c r="B91" s="2" t="s">
        <v>111</v>
      </c>
      <c r="C91" s="2" t="s">
        <v>111</v>
      </c>
      <c r="D91" s="1" t="s">
        <v>464</v>
      </c>
      <c r="E91" s="3">
        <v>66086235</v>
      </c>
      <c r="F91" s="3">
        <v>11593</v>
      </c>
      <c r="G91" s="3">
        <v>262448</v>
      </c>
      <c r="H91" s="1">
        <v>0</v>
      </c>
      <c r="I91" s="3">
        <v>66074642</v>
      </c>
      <c r="J91" s="3">
        <v>65812194</v>
      </c>
      <c r="K91" s="3">
        <v>65812194</v>
      </c>
      <c r="L91" s="3">
        <v>2342639</v>
      </c>
      <c r="M91" s="3">
        <v>6303345</v>
      </c>
      <c r="N91" s="3">
        <v>754809</v>
      </c>
      <c r="O91" s="3">
        <v>747769</v>
      </c>
      <c r="P91" s="3">
        <v>3430470</v>
      </c>
      <c r="Q91" s="3">
        <v>52495610</v>
      </c>
      <c r="R91" s="3">
        <v>52233162</v>
      </c>
      <c r="S91" s="3">
        <v>52233162</v>
      </c>
      <c r="T91" s="3">
        <v>6607464</v>
      </c>
      <c r="U91" s="3">
        <v>6607464</v>
      </c>
      <c r="V91" s="3">
        <v>6607464</v>
      </c>
      <c r="W91" s="3">
        <v>6607464</v>
      </c>
      <c r="X91" s="3">
        <v>6563723</v>
      </c>
      <c r="Y91" s="3">
        <v>6563723</v>
      </c>
      <c r="Z91" s="4">
        <v>6563723</v>
      </c>
      <c r="AA91" s="4">
        <v>6563723</v>
      </c>
      <c r="AB91" s="4">
        <v>6563723</v>
      </c>
      <c r="AC91" s="4">
        <v>6563723</v>
      </c>
      <c r="AD91" s="4">
        <v>6607464</v>
      </c>
      <c r="AE91" s="4">
        <v>13214928</v>
      </c>
      <c r="AF91" s="4">
        <v>19822392</v>
      </c>
      <c r="AG91" s="4">
        <v>26429856</v>
      </c>
      <c r="AH91" s="4">
        <v>32993579</v>
      </c>
      <c r="AI91" s="4">
        <v>39557302</v>
      </c>
      <c r="AJ91" s="4">
        <v>46121025</v>
      </c>
      <c r="AK91" s="4">
        <v>52684748</v>
      </c>
      <c r="AL91" s="4">
        <v>59248471</v>
      </c>
      <c r="AM91" s="4">
        <v>65812194</v>
      </c>
      <c r="AN91" s="154">
        <v>5198347</v>
      </c>
    </row>
    <row r="92" spans="1:40" x14ac:dyDescent="0.2">
      <c r="A92" s="1">
        <v>2019</v>
      </c>
      <c r="B92" s="2" t="s">
        <v>112</v>
      </c>
      <c r="C92" s="2" t="s">
        <v>112</v>
      </c>
      <c r="D92" s="1" t="s">
        <v>465</v>
      </c>
      <c r="E92" s="3">
        <v>2449590</v>
      </c>
      <c r="F92" s="1">
        <v>365</v>
      </c>
      <c r="G92" s="3">
        <v>10474</v>
      </c>
      <c r="H92" s="1">
        <v>0</v>
      </c>
      <c r="I92" s="3">
        <v>2449225</v>
      </c>
      <c r="J92" s="3">
        <v>2438751</v>
      </c>
      <c r="K92" s="3">
        <v>2438751</v>
      </c>
      <c r="L92" s="3">
        <v>73731</v>
      </c>
      <c r="M92" s="3">
        <v>255555</v>
      </c>
      <c r="N92" s="3">
        <v>28659</v>
      </c>
      <c r="O92" s="3">
        <v>26651</v>
      </c>
      <c r="P92" s="3">
        <v>136901</v>
      </c>
      <c r="Q92" s="3">
        <v>1927728</v>
      </c>
      <c r="R92" s="3">
        <v>1917254</v>
      </c>
      <c r="S92" s="3">
        <v>1917254</v>
      </c>
      <c r="T92" s="3">
        <v>244923</v>
      </c>
      <c r="U92" s="3">
        <v>244923</v>
      </c>
      <c r="V92" s="3">
        <v>244923</v>
      </c>
      <c r="W92" s="3">
        <v>244923</v>
      </c>
      <c r="X92" s="3">
        <v>243177</v>
      </c>
      <c r="Y92" s="3">
        <v>243177</v>
      </c>
      <c r="Z92" s="4">
        <v>243176</v>
      </c>
      <c r="AA92" s="4">
        <v>243176</v>
      </c>
      <c r="AB92" s="4">
        <v>243176</v>
      </c>
      <c r="AC92" s="4">
        <v>243177</v>
      </c>
      <c r="AD92" s="4">
        <v>244923</v>
      </c>
      <c r="AE92" s="4">
        <v>489846</v>
      </c>
      <c r="AF92" s="4">
        <v>734769</v>
      </c>
      <c r="AG92" s="4">
        <v>979692</v>
      </c>
      <c r="AH92" s="4">
        <v>1222869</v>
      </c>
      <c r="AI92" s="4">
        <v>1466046</v>
      </c>
      <c r="AJ92" s="4">
        <v>1709222</v>
      </c>
      <c r="AK92" s="4">
        <v>1952398</v>
      </c>
      <c r="AL92" s="4">
        <v>2195574</v>
      </c>
      <c r="AM92" s="4">
        <v>2438751</v>
      </c>
      <c r="AN92" s="154">
        <v>200830</v>
      </c>
    </row>
    <row r="93" spans="1:40" x14ac:dyDescent="0.2">
      <c r="A93" s="1">
        <v>2019</v>
      </c>
      <c r="B93" s="2" t="s">
        <v>113</v>
      </c>
      <c r="C93" s="2" t="s">
        <v>113</v>
      </c>
      <c r="D93" s="1" t="s">
        <v>466</v>
      </c>
      <c r="E93" s="3">
        <v>2280410</v>
      </c>
      <c r="F93" s="3">
        <v>398</v>
      </c>
      <c r="G93" s="3">
        <v>10156</v>
      </c>
      <c r="H93" s="1">
        <v>0</v>
      </c>
      <c r="I93" s="3">
        <v>2280012</v>
      </c>
      <c r="J93" s="3">
        <v>2269856</v>
      </c>
      <c r="K93" s="3">
        <v>2269856</v>
      </c>
      <c r="L93" s="3">
        <v>80434</v>
      </c>
      <c r="M93" s="3">
        <v>268937</v>
      </c>
      <c r="N93" s="3">
        <v>30521</v>
      </c>
      <c r="O93" s="3">
        <v>32217</v>
      </c>
      <c r="P93" s="3">
        <v>134383</v>
      </c>
      <c r="Q93" s="3">
        <v>1733520</v>
      </c>
      <c r="R93" s="3">
        <v>1723364</v>
      </c>
      <c r="S93" s="3">
        <v>1723364</v>
      </c>
      <c r="T93" s="3">
        <v>228001</v>
      </c>
      <c r="U93" s="3">
        <v>228001</v>
      </c>
      <c r="V93" s="3">
        <v>228001</v>
      </c>
      <c r="W93" s="3">
        <v>228001</v>
      </c>
      <c r="X93" s="3">
        <v>226309</v>
      </c>
      <c r="Y93" s="3">
        <v>226309</v>
      </c>
      <c r="Z93" s="4">
        <v>226309</v>
      </c>
      <c r="AA93" s="4">
        <v>226309</v>
      </c>
      <c r="AB93" s="4">
        <v>226309</v>
      </c>
      <c r="AC93" s="4">
        <v>226307</v>
      </c>
      <c r="AD93" s="4">
        <v>228001</v>
      </c>
      <c r="AE93" s="4">
        <v>456002</v>
      </c>
      <c r="AF93" s="4">
        <v>684003</v>
      </c>
      <c r="AG93" s="4">
        <v>912004</v>
      </c>
      <c r="AH93" s="4">
        <v>1138313</v>
      </c>
      <c r="AI93" s="4">
        <v>1364622</v>
      </c>
      <c r="AJ93" s="4">
        <v>1590931</v>
      </c>
      <c r="AK93" s="4">
        <v>1817240</v>
      </c>
      <c r="AL93" s="4">
        <v>2043549</v>
      </c>
      <c r="AM93" s="4">
        <v>2269856</v>
      </c>
      <c r="AN93" s="154">
        <v>180729</v>
      </c>
    </row>
    <row r="94" spans="1:40" x14ac:dyDescent="0.2">
      <c r="A94" s="1">
        <v>2019</v>
      </c>
      <c r="B94" s="2" t="s">
        <v>114</v>
      </c>
      <c r="C94" s="2" t="s">
        <v>114</v>
      </c>
      <c r="D94" s="1" t="s">
        <v>467</v>
      </c>
      <c r="E94" s="3">
        <v>3173854</v>
      </c>
      <c r="F94" s="1">
        <v>398</v>
      </c>
      <c r="G94" s="3">
        <v>14066</v>
      </c>
      <c r="H94" s="1">
        <v>0</v>
      </c>
      <c r="I94" s="3">
        <v>3173456</v>
      </c>
      <c r="J94" s="3">
        <v>3159390</v>
      </c>
      <c r="K94" s="3">
        <v>3159390</v>
      </c>
      <c r="L94" s="3">
        <v>80434</v>
      </c>
      <c r="M94" s="3">
        <v>393285</v>
      </c>
      <c r="N94" s="3">
        <v>35748</v>
      </c>
      <c r="O94" s="3">
        <v>44499</v>
      </c>
      <c r="P94" s="3">
        <v>187723</v>
      </c>
      <c r="Q94" s="3">
        <v>2431767</v>
      </c>
      <c r="R94" s="3">
        <v>2417701</v>
      </c>
      <c r="S94" s="3">
        <v>2417701</v>
      </c>
      <c r="T94" s="3">
        <v>317346</v>
      </c>
      <c r="U94" s="3">
        <v>317346</v>
      </c>
      <c r="V94" s="3">
        <v>317346</v>
      </c>
      <c r="W94" s="3">
        <v>317346</v>
      </c>
      <c r="X94" s="3">
        <v>315001</v>
      </c>
      <c r="Y94" s="3">
        <v>315001</v>
      </c>
      <c r="Z94" s="4">
        <v>315001</v>
      </c>
      <c r="AA94" s="4">
        <v>315001</v>
      </c>
      <c r="AB94" s="4">
        <v>315001</v>
      </c>
      <c r="AC94" s="4">
        <v>315001</v>
      </c>
      <c r="AD94" s="4">
        <v>317346</v>
      </c>
      <c r="AE94" s="4">
        <v>634692</v>
      </c>
      <c r="AF94" s="4">
        <v>952038</v>
      </c>
      <c r="AG94" s="4">
        <v>1269384</v>
      </c>
      <c r="AH94" s="4">
        <v>1584385</v>
      </c>
      <c r="AI94" s="4">
        <v>1899386</v>
      </c>
      <c r="AJ94" s="4">
        <v>2214387</v>
      </c>
      <c r="AK94" s="4">
        <v>2529388</v>
      </c>
      <c r="AL94" s="4">
        <v>2844389</v>
      </c>
      <c r="AM94" s="4">
        <v>3159390</v>
      </c>
      <c r="AN94" s="154">
        <v>244820</v>
      </c>
    </row>
    <row r="95" spans="1:40" x14ac:dyDescent="0.2">
      <c r="A95" s="1">
        <v>2019</v>
      </c>
      <c r="B95" s="2" t="s">
        <v>115</v>
      </c>
      <c r="C95" s="2" t="s">
        <v>700</v>
      </c>
      <c r="D95" s="1" t="s">
        <v>468</v>
      </c>
      <c r="E95" s="3">
        <v>6185668</v>
      </c>
      <c r="F95" s="1">
        <v>813</v>
      </c>
      <c r="G95" s="3">
        <v>26318</v>
      </c>
      <c r="H95" s="1">
        <v>0</v>
      </c>
      <c r="I95" s="3">
        <v>6184855</v>
      </c>
      <c r="J95" s="3">
        <v>6158537</v>
      </c>
      <c r="K95" s="3">
        <v>6158537</v>
      </c>
      <c r="L95" s="3">
        <v>164219</v>
      </c>
      <c r="M95" s="3">
        <v>653569</v>
      </c>
      <c r="N95" s="3">
        <v>69010</v>
      </c>
      <c r="O95" s="3">
        <v>56950</v>
      </c>
      <c r="P95" s="3">
        <v>356373</v>
      </c>
      <c r="Q95" s="3">
        <v>4884734</v>
      </c>
      <c r="R95" s="3">
        <v>4858416</v>
      </c>
      <c r="S95" s="3">
        <v>4858416</v>
      </c>
      <c r="T95" s="3">
        <v>618486</v>
      </c>
      <c r="U95" s="3">
        <v>618486</v>
      </c>
      <c r="V95" s="3">
        <v>618486</v>
      </c>
      <c r="W95" s="3">
        <v>618486</v>
      </c>
      <c r="X95" s="3">
        <v>614099</v>
      </c>
      <c r="Y95" s="3">
        <v>614099</v>
      </c>
      <c r="Z95" s="4">
        <v>614099</v>
      </c>
      <c r="AA95" s="4">
        <v>614099</v>
      </c>
      <c r="AB95" s="4">
        <v>614099</v>
      </c>
      <c r="AC95" s="4">
        <v>614098</v>
      </c>
      <c r="AD95" s="4">
        <v>618486</v>
      </c>
      <c r="AE95" s="4">
        <v>1236972</v>
      </c>
      <c r="AF95" s="4">
        <v>1855458</v>
      </c>
      <c r="AG95" s="4">
        <v>2473944</v>
      </c>
      <c r="AH95" s="4">
        <v>3088043</v>
      </c>
      <c r="AI95" s="4">
        <v>3702142</v>
      </c>
      <c r="AJ95" s="4">
        <v>4316241</v>
      </c>
      <c r="AK95" s="4">
        <v>4930340</v>
      </c>
      <c r="AL95" s="4">
        <v>5544439</v>
      </c>
      <c r="AM95" s="4">
        <v>6158537</v>
      </c>
      <c r="AN95" s="154">
        <v>514491</v>
      </c>
    </row>
    <row r="96" spans="1:40" x14ac:dyDescent="0.2">
      <c r="A96" s="1">
        <v>2019</v>
      </c>
      <c r="B96" s="2" t="s">
        <v>116</v>
      </c>
      <c r="C96" s="2" t="s">
        <v>116</v>
      </c>
      <c r="D96" s="1" t="s">
        <v>469</v>
      </c>
      <c r="E96" s="3">
        <v>5662737</v>
      </c>
      <c r="F96" s="1">
        <v>945</v>
      </c>
      <c r="G96" s="3">
        <v>21172</v>
      </c>
      <c r="H96" s="1">
        <v>0</v>
      </c>
      <c r="I96" s="3">
        <v>5661792</v>
      </c>
      <c r="J96" s="3">
        <v>5640620</v>
      </c>
      <c r="K96" s="3">
        <v>5640620</v>
      </c>
      <c r="L96" s="3">
        <v>191031</v>
      </c>
      <c r="M96" s="3">
        <v>504212</v>
      </c>
      <c r="N96" s="3">
        <v>62188</v>
      </c>
      <c r="O96" s="3">
        <v>55196</v>
      </c>
      <c r="P96" s="3">
        <v>276741</v>
      </c>
      <c r="Q96" s="3">
        <v>4572424</v>
      </c>
      <c r="R96" s="3">
        <v>4551252</v>
      </c>
      <c r="S96" s="3">
        <v>4551252</v>
      </c>
      <c r="T96" s="3">
        <v>566179</v>
      </c>
      <c r="U96" s="3">
        <v>566179</v>
      </c>
      <c r="V96" s="3">
        <v>566179</v>
      </c>
      <c r="W96" s="3">
        <v>566179</v>
      </c>
      <c r="X96" s="3">
        <v>562651</v>
      </c>
      <c r="Y96" s="3">
        <v>562651</v>
      </c>
      <c r="Z96" s="4">
        <v>562651</v>
      </c>
      <c r="AA96" s="4">
        <v>562651</v>
      </c>
      <c r="AB96" s="4">
        <v>562651</v>
      </c>
      <c r="AC96" s="4">
        <v>562649</v>
      </c>
      <c r="AD96" s="4">
        <v>566179</v>
      </c>
      <c r="AE96" s="4">
        <v>1132358</v>
      </c>
      <c r="AF96" s="4">
        <v>1698537</v>
      </c>
      <c r="AG96" s="4">
        <v>2264716</v>
      </c>
      <c r="AH96" s="4">
        <v>2827367</v>
      </c>
      <c r="AI96" s="4">
        <v>3390018</v>
      </c>
      <c r="AJ96" s="4">
        <v>3952669</v>
      </c>
      <c r="AK96" s="4">
        <v>4515320</v>
      </c>
      <c r="AL96" s="4">
        <v>5077971</v>
      </c>
      <c r="AM96" s="4">
        <v>5640620</v>
      </c>
      <c r="AN96" s="154">
        <v>394962</v>
      </c>
    </row>
    <row r="97" spans="1:40" x14ac:dyDescent="0.2">
      <c r="A97" s="1">
        <v>2019</v>
      </c>
      <c r="B97" s="2" t="s">
        <v>117</v>
      </c>
      <c r="C97" s="2" t="s">
        <v>117</v>
      </c>
      <c r="D97" s="1" t="s">
        <v>470</v>
      </c>
      <c r="E97" s="3">
        <v>3398068</v>
      </c>
      <c r="F97" s="1">
        <v>614</v>
      </c>
      <c r="G97" s="3">
        <v>14365</v>
      </c>
      <c r="H97" s="1">
        <v>0</v>
      </c>
      <c r="I97" s="3">
        <v>3397454</v>
      </c>
      <c r="J97" s="3">
        <v>3383089</v>
      </c>
      <c r="K97" s="3">
        <v>3383089</v>
      </c>
      <c r="L97" s="3">
        <v>124002</v>
      </c>
      <c r="M97" s="3">
        <v>353364</v>
      </c>
      <c r="N97" s="3">
        <v>40614</v>
      </c>
      <c r="O97" s="3">
        <v>35748</v>
      </c>
      <c r="P97" s="3">
        <v>187770</v>
      </c>
      <c r="Q97" s="3">
        <v>2655956</v>
      </c>
      <c r="R97" s="3">
        <v>2641591</v>
      </c>
      <c r="S97" s="3">
        <v>2641591</v>
      </c>
      <c r="T97" s="3">
        <v>339745</v>
      </c>
      <c r="U97" s="3">
        <v>339745</v>
      </c>
      <c r="V97" s="3">
        <v>339745</v>
      </c>
      <c r="W97" s="3">
        <v>339745</v>
      </c>
      <c r="X97" s="3">
        <v>337352</v>
      </c>
      <c r="Y97" s="3">
        <v>337352</v>
      </c>
      <c r="Z97" s="4">
        <v>337351</v>
      </c>
      <c r="AA97" s="4">
        <v>337351</v>
      </c>
      <c r="AB97" s="4">
        <v>337351</v>
      </c>
      <c r="AC97" s="4">
        <v>337352</v>
      </c>
      <c r="AD97" s="4">
        <v>339745</v>
      </c>
      <c r="AE97" s="4">
        <v>679490</v>
      </c>
      <c r="AF97" s="4">
        <v>1019235</v>
      </c>
      <c r="AG97" s="4">
        <v>1358980</v>
      </c>
      <c r="AH97" s="4">
        <v>1696332</v>
      </c>
      <c r="AI97" s="4">
        <v>2033684</v>
      </c>
      <c r="AJ97" s="4">
        <v>2371035</v>
      </c>
      <c r="AK97" s="4">
        <v>2708386</v>
      </c>
      <c r="AL97" s="4">
        <v>3045737</v>
      </c>
      <c r="AM97" s="4">
        <v>3383089</v>
      </c>
      <c r="AN97" s="154">
        <v>254286</v>
      </c>
    </row>
    <row r="98" spans="1:40" x14ac:dyDescent="0.2">
      <c r="A98" s="1">
        <v>2019</v>
      </c>
      <c r="B98" s="2" t="s">
        <v>118</v>
      </c>
      <c r="C98" s="2" t="s">
        <v>118</v>
      </c>
      <c r="D98" s="1" t="s">
        <v>471</v>
      </c>
      <c r="E98" s="3">
        <v>3554613</v>
      </c>
      <c r="F98" s="1">
        <v>564</v>
      </c>
      <c r="G98" s="3">
        <v>14185</v>
      </c>
      <c r="H98" s="1">
        <v>0</v>
      </c>
      <c r="I98" s="3">
        <v>3554049</v>
      </c>
      <c r="J98" s="3">
        <v>3539864</v>
      </c>
      <c r="K98" s="3">
        <v>3539864</v>
      </c>
      <c r="L98" s="3">
        <v>113948</v>
      </c>
      <c r="M98" s="3">
        <v>368867</v>
      </c>
      <c r="N98" s="3">
        <v>38795</v>
      </c>
      <c r="O98" s="3">
        <v>36925</v>
      </c>
      <c r="P98" s="3">
        <v>188337</v>
      </c>
      <c r="Q98" s="3">
        <v>2807177</v>
      </c>
      <c r="R98" s="3">
        <v>2792992</v>
      </c>
      <c r="S98" s="3">
        <v>2792992</v>
      </c>
      <c r="T98" s="3">
        <v>355405</v>
      </c>
      <c r="U98" s="3">
        <v>355405</v>
      </c>
      <c r="V98" s="3">
        <v>355405</v>
      </c>
      <c r="W98" s="3">
        <v>355405</v>
      </c>
      <c r="X98" s="3">
        <v>353041</v>
      </c>
      <c r="Y98" s="3">
        <v>353041</v>
      </c>
      <c r="Z98" s="4">
        <v>353041</v>
      </c>
      <c r="AA98" s="4">
        <v>353041</v>
      </c>
      <c r="AB98" s="4">
        <v>353041</v>
      </c>
      <c r="AC98" s="4">
        <v>353039</v>
      </c>
      <c r="AD98" s="4">
        <v>355405</v>
      </c>
      <c r="AE98" s="4">
        <v>710810</v>
      </c>
      <c r="AF98" s="4">
        <v>1066215</v>
      </c>
      <c r="AG98" s="4">
        <v>1421620</v>
      </c>
      <c r="AH98" s="4">
        <v>1774661</v>
      </c>
      <c r="AI98" s="4">
        <v>2127702</v>
      </c>
      <c r="AJ98" s="4">
        <v>2480743</v>
      </c>
      <c r="AK98" s="4">
        <v>2833784</v>
      </c>
      <c r="AL98" s="4">
        <v>3186825</v>
      </c>
      <c r="AM98" s="4">
        <v>3539864</v>
      </c>
      <c r="AN98" s="154">
        <v>266290</v>
      </c>
    </row>
    <row r="99" spans="1:40" x14ac:dyDescent="0.2">
      <c r="A99" s="1">
        <v>2019</v>
      </c>
      <c r="B99" s="2" t="s">
        <v>119</v>
      </c>
      <c r="C99" s="2" t="s">
        <v>119</v>
      </c>
      <c r="D99" s="1" t="s">
        <v>472</v>
      </c>
      <c r="E99" s="3">
        <v>3597737</v>
      </c>
      <c r="F99" s="1">
        <v>315</v>
      </c>
      <c r="G99" s="3">
        <v>15070</v>
      </c>
      <c r="H99" s="1">
        <v>0</v>
      </c>
      <c r="I99" s="3">
        <v>3597422</v>
      </c>
      <c r="J99" s="3">
        <v>3582352</v>
      </c>
      <c r="K99" s="3">
        <v>3582352</v>
      </c>
      <c r="L99" s="3">
        <v>63677</v>
      </c>
      <c r="M99" s="3">
        <v>360517</v>
      </c>
      <c r="N99" s="3">
        <v>36610</v>
      </c>
      <c r="O99" s="3">
        <v>39546</v>
      </c>
      <c r="P99" s="3">
        <v>198973</v>
      </c>
      <c r="Q99" s="3">
        <v>2898099</v>
      </c>
      <c r="R99" s="3">
        <v>2883029</v>
      </c>
      <c r="S99" s="3">
        <v>2883029</v>
      </c>
      <c r="T99" s="3">
        <v>359742</v>
      </c>
      <c r="U99" s="3">
        <v>359742</v>
      </c>
      <c r="V99" s="3">
        <v>359742</v>
      </c>
      <c r="W99" s="3">
        <v>359742</v>
      </c>
      <c r="X99" s="3">
        <v>357231</v>
      </c>
      <c r="Y99" s="3">
        <v>357231</v>
      </c>
      <c r="Z99" s="4">
        <v>357231</v>
      </c>
      <c r="AA99" s="4">
        <v>357231</v>
      </c>
      <c r="AB99" s="4">
        <v>357231</v>
      </c>
      <c r="AC99" s="4">
        <v>357229</v>
      </c>
      <c r="AD99" s="4">
        <v>359742</v>
      </c>
      <c r="AE99" s="4">
        <v>719484</v>
      </c>
      <c r="AF99" s="4">
        <v>1079226</v>
      </c>
      <c r="AG99" s="4">
        <v>1438968</v>
      </c>
      <c r="AH99" s="4">
        <v>1796199</v>
      </c>
      <c r="AI99" s="4">
        <v>2153430</v>
      </c>
      <c r="AJ99" s="4">
        <v>2510661</v>
      </c>
      <c r="AK99" s="4">
        <v>2867892</v>
      </c>
      <c r="AL99" s="4">
        <v>3225123</v>
      </c>
      <c r="AM99" s="4">
        <v>3582352</v>
      </c>
      <c r="AN99" s="154">
        <v>274341</v>
      </c>
    </row>
    <row r="100" spans="1:40" x14ac:dyDescent="0.2">
      <c r="A100" s="1">
        <v>2019</v>
      </c>
      <c r="B100" s="2" t="s">
        <v>120</v>
      </c>
      <c r="C100" s="2" t="s">
        <v>120</v>
      </c>
      <c r="D100" s="1" t="s">
        <v>473</v>
      </c>
      <c r="E100" s="3">
        <v>3127428</v>
      </c>
      <c r="F100" s="1">
        <v>531</v>
      </c>
      <c r="G100" s="3">
        <v>12280</v>
      </c>
      <c r="H100" s="1">
        <v>0</v>
      </c>
      <c r="I100" s="3">
        <v>3126897</v>
      </c>
      <c r="J100" s="3">
        <v>3114617</v>
      </c>
      <c r="K100" s="3">
        <v>3114617</v>
      </c>
      <c r="L100" s="3">
        <v>107245</v>
      </c>
      <c r="M100" s="3">
        <v>295638</v>
      </c>
      <c r="N100" s="3">
        <v>35705</v>
      </c>
      <c r="O100" s="3">
        <v>28665</v>
      </c>
      <c r="P100" s="3">
        <v>160507</v>
      </c>
      <c r="Q100" s="3">
        <v>2499137</v>
      </c>
      <c r="R100" s="3">
        <v>2486857</v>
      </c>
      <c r="S100" s="3">
        <v>2486857</v>
      </c>
      <c r="T100" s="3">
        <v>312690</v>
      </c>
      <c r="U100" s="3">
        <v>312690</v>
      </c>
      <c r="V100" s="3">
        <v>312690</v>
      </c>
      <c r="W100" s="3">
        <v>312690</v>
      </c>
      <c r="X100" s="3">
        <v>310643</v>
      </c>
      <c r="Y100" s="3">
        <v>310643</v>
      </c>
      <c r="Z100" s="4">
        <v>310643</v>
      </c>
      <c r="AA100" s="4">
        <v>310643</v>
      </c>
      <c r="AB100" s="4">
        <v>310643</v>
      </c>
      <c r="AC100" s="4">
        <v>310642</v>
      </c>
      <c r="AD100" s="4">
        <v>312690</v>
      </c>
      <c r="AE100" s="4">
        <v>625380</v>
      </c>
      <c r="AF100" s="4">
        <v>938070</v>
      </c>
      <c r="AG100" s="4">
        <v>1250760</v>
      </c>
      <c r="AH100" s="4">
        <v>1561403</v>
      </c>
      <c r="AI100" s="4">
        <v>1872046</v>
      </c>
      <c r="AJ100" s="4">
        <v>2182689</v>
      </c>
      <c r="AK100" s="4">
        <v>2493332</v>
      </c>
      <c r="AL100" s="4">
        <v>2803975</v>
      </c>
      <c r="AM100" s="4">
        <v>3114617</v>
      </c>
      <c r="AN100" s="154">
        <v>219935</v>
      </c>
    </row>
    <row r="101" spans="1:40" x14ac:dyDescent="0.2">
      <c r="A101" s="1">
        <v>2019</v>
      </c>
      <c r="B101" s="2" t="s">
        <v>121</v>
      </c>
      <c r="C101" s="2" t="s">
        <v>121</v>
      </c>
      <c r="D101" s="1" t="s">
        <v>474</v>
      </c>
      <c r="E101" s="3">
        <v>1466472</v>
      </c>
      <c r="F101" s="3">
        <v>365</v>
      </c>
      <c r="G101" s="3">
        <v>8121</v>
      </c>
      <c r="H101" s="1">
        <v>0</v>
      </c>
      <c r="I101" s="3">
        <v>1466107</v>
      </c>
      <c r="J101" s="3">
        <v>1457986</v>
      </c>
      <c r="K101" s="3">
        <v>1457986</v>
      </c>
      <c r="L101" s="3">
        <v>73731</v>
      </c>
      <c r="M101" s="3">
        <v>222868</v>
      </c>
      <c r="N101" s="3">
        <v>25740</v>
      </c>
      <c r="O101" s="3">
        <v>21151</v>
      </c>
      <c r="P101" s="3">
        <v>111140</v>
      </c>
      <c r="Q101" s="3">
        <v>1011477</v>
      </c>
      <c r="R101" s="3">
        <v>1003356</v>
      </c>
      <c r="S101" s="3">
        <v>1003356</v>
      </c>
      <c r="T101" s="3">
        <v>146611</v>
      </c>
      <c r="U101" s="3">
        <v>146611</v>
      </c>
      <c r="V101" s="3">
        <v>146611</v>
      </c>
      <c r="W101" s="3">
        <v>146611</v>
      </c>
      <c r="X101" s="3">
        <v>145257</v>
      </c>
      <c r="Y101" s="3">
        <v>145257</v>
      </c>
      <c r="Z101" s="4">
        <v>145257</v>
      </c>
      <c r="AA101" s="4">
        <v>145257</v>
      </c>
      <c r="AB101" s="4">
        <v>145257</v>
      </c>
      <c r="AC101" s="4">
        <v>145257</v>
      </c>
      <c r="AD101" s="4">
        <v>146611</v>
      </c>
      <c r="AE101" s="4">
        <v>293222</v>
      </c>
      <c r="AF101" s="4">
        <v>439833</v>
      </c>
      <c r="AG101" s="4">
        <v>586444</v>
      </c>
      <c r="AH101" s="4">
        <v>731701</v>
      </c>
      <c r="AI101" s="4">
        <v>876958</v>
      </c>
      <c r="AJ101" s="4">
        <v>1022215</v>
      </c>
      <c r="AK101" s="4">
        <v>1167472</v>
      </c>
      <c r="AL101" s="4">
        <v>1312729</v>
      </c>
      <c r="AM101" s="4">
        <v>1457986</v>
      </c>
      <c r="AN101" s="154">
        <v>155242</v>
      </c>
    </row>
    <row r="102" spans="1:40" x14ac:dyDescent="0.2">
      <c r="A102" s="1">
        <v>2019</v>
      </c>
      <c r="B102" s="2" t="s">
        <v>122</v>
      </c>
      <c r="C102" s="2" t="s">
        <v>122</v>
      </c>
      <c r="D102" s="1" t="s">
        <v>475</v>
      </c>
      <c r="E102" s="3">
        <v>2183785</v>
      </c>
      <c r="F102" s="1">
        <v>381</v>
      </c>
      <c r="G102" s="3">
        <v>10556</v>
      </c>
      <c r="H102" s="1">
        <v>0</v>
      </c>
      <c r="I102" s="3">
        <v>2183404</v>
      </c>
      <c r="J102" s="3">
        <v>2172848</v>
      </c>
      <c r="K102" s="3">
        <v>2172848</v>
      </c>
      <c r="L102" s="3">
        <v>77083</v>
      </c>
      <c r="M102" s="3">
        <v>269713</v>
      </c>
      <c r="N102" s="3">
        <v>33132</v>
      </c>
      <c r="O102" s="3">
        <v>29436</v>
      </c>
      <c r="P102" s="3">
        <v>139426</v>
      </c>
      <c r="Q102" s="3">
        <v>1634614</v>
      </c>
      <c r="R102" s="3">
        <v>1624058</v>
      </c>
      <c r="S102" s="3">
        <v>1624058</v>
      </c>
      <c r="T102" s="3">
        <v>218340</v>
      </c>
      <c r="U102" s="3">
        <v>218340</v>
      </c>
      <c r="V102" s="3">
        <v>218340</v>
      </c>
      <c r="W102" s="3">
        <v>218340</v>
      </c>
      <c r="X102" s="3">
        <v>216581</v>
      </c>
      <c r="Y102" s="3">
        <v>216581</v>
      </c>
      <c r="Z102" s="4">
        <v>216582</v>
      </c>
      <c r="AA102" s="4">
        <v>216582</v>
      </c>
      <c r="AB102" s="4">
        <v>216582</v>
      </c>
      <c r="AC102" s="4">
        <v>216580</v>
      </c>
      <c r="AD102" s="4">
        <v>218340</v>
      </c>
      <c r="AE102" s="4">
        <v>436680</v>
      </c>
      <c r="AF102" s="4">
        <v>655020</v>
      </c>
      <c r="AG102" s="4">
        <v>873360</v>
      </c>
      <c r="AH102" s="4">
        <v>1089941</v>
      </c>
      <c r="AI102" s="4">
        <v>1306522</v>
      </c>
      <c r="AJ102" s="4">
        <v>1523104</v>
      </c>
      <c r="AK102" s="4">
        <v>1739686</v>
      </c>
      <c r="AL102" s="4">
        <v>1956268</v>
      </c>
      <c r="AM102" s="4">
        <v>2172848</v>
      </c>
      <c r="AN102" s="154">
        <v>186562</v>
      </c>
    </row>
    <row r="103" spans="1:40" x14ac:dyDescent="0.2">
      <c r="A103" s="1">
        <v>2019</v>
      </c>
      <c r="B103" s="2" t="s">
        <v>123</v>
      </c>
      <c r="C103" s="2" t="s">
        <v>123</v>
      </c>
      <c r="D103" s="1" t="s">
        <v>476</v>
      </c>
      <c r="E103" s="3">
        <v>2381915</v>
      </c>
      <c r="F103" s="1">
        <v>531</v>
      </c>
      <c r="G103" s="3">
        <v>10341</v>
      </c>
      <c r="H103" s="1">
        <v>0</v>
      </c>
      <c r="I103" s="3">
        <v>2381384</v>
      </c>
      <c r="J103" s="3">
        <v>2371043</v>
      </c>
      <c r="K103" s="3">
        <v>2371043</v>
      </c>
      <c r="L103" s="3">
        <v>107245</v>
      </c>
      <c r="M103" s="3">
        <v>263436</v>
      </c>
      <c r="N103" s="3">
        <v>31559</v>
      </c>
      <c r="O103" s="3">
        <v>29398</v>
      </c>
      <c r="P103" s="3">
        <v>135171</v>
      </c>
      <c r="Q103" s="3">
        <v>1814575</v>
      </c>
      <c r="R103" s="3">
        <v>1804234</v>
      </c>
      <c r="S103" s="3">
        <v>1804234</v>
      </c>
      <c r="T103" s="3">
        <v>238138</v>
      </c>
      <c r="U103" s="3">
        <v>238138</v>
      </c>
      <c r="V103" s="3">
        <v>238138</v>
      </c>
      <c r="W103" s="3">
        <v>238138</v>
      </c>
      <c r="X103" s="3">
        <v>236415</v>
      </c>
      <c r="Y103" s="3">
        <v>236415</v>
      </c>
      <c r="Z103" s="4">
        <v>236415</v>
      </c>
      <c r="AA103" s="4">
        <v>236415</v>
      </c>
      <c r="AB103" s="4">
        <v>236415</v>
      </c>
      <c r="AC103" s="4">
        <v>236416</v>
      </c>
      <c r="AD103" s="4">
        <v>238138</v>
      </c>
      <c r="AE103" s="4">
        <v>476276</v>
      </c>
      <c r="AF103" s="4">
        <v>714414</v>
      </c>
      <c r="AG103" s="4">
        <v>952552</v>
      </c>
      <c r="AH103" s="4">
        <v>1188967</v>
      </c>
      <c r="AI103" s="4">
        <v>1425382</v>
      </c>
      <c r="AJ103" s="4">
        <v>1661797</v>
      </c>
      <c r="AK103" s="4">
        <v>1898212</v>
      </c>
      <c r="AL103" s="4">
        <v>2134627</v>
      </c>
      <c r="AM103" s="4">
        <v>2371043</v>
      </c>
      <c r="AN103" s="154">
        <v>183764</v>
      </c>
    </row>
    <row r="104" spans="1:40" x14ac:dyDescent="0.2">
      <c r="A104" s="1">
        <v>2019</v>
      </c>
      <c r="B104" s="2" t="s">
        <v>124</v>
      </c>
      <c r="C104" s="2" t="s">
        <v>124</v>
      </c>
      <c r="D104" s="1" t="s">
        <v>477</v>
      </c>
      <c r="E104" s="3">
        <v>4213327</v>
      </c>
      <c r="F104" s="1">
        <v>614</v>
      </c>
      <c r="G104" s="3">
        <v>15602</v>
      </c>
      <c r="H104" s="1">
        <v>0</v>
      </c>
      <c r="I104" s="3">
        <v>4212713</v>
      </c>
      <c r="J104" s="3">
        <v>4197111</v>
      </c>
      <c r="K104" s="3">
        <v>4197111</v>
      </c>
      <c r="L104" s="3">
        <v>124002</v>
      </c>
      <c r="M104" s="3">
        <v>382429</v>
      </c>
      <c r="N104" s="3">
        <v>44209</v>
      </c>
      <c r="O104" s="3">
        <v>44539</v>
      </c>
      <c r="P104" s="3">
        <v>204953</v>
      </c>
      <c r="Q104" s="3">
        <v>3412581</v>
      </c>
      <c r="R104" s="3">
        <v>3396979</v>
      </c>
      <c r="S104" s="3">
        <v>3396979</v>
      </c>
      <c r="T104" s="3">
        <v>421271</v>
      </c>
      <c r="U104" s="3">
        <v>421271</v>
      </c>
      <c r="V104" s="3">
        <v>421271</v>
      </c>
      <c r="W104" s="3">
        <v>421271</v>
      </c>
      <c r="X104" s="3">
        <v>418671</v>
      </c>
      <c r="Y104" s="3">
        <v>418671</v>
      </c>
      <c r="Z104" s="4">
        <v>418671</v>
      </c>
      <c r="AA104" s="4">
        <v>418671</v>
      </c>
      <c r="AB104" s="4">
        <v>418671</v>
      </c>
      <c r="AC104" s="4">
        <v>418672</v>
      </c>
      <c r="AD104" s="4">
        <v>421271</v>
      </c>
      <c r="AE104" s="4">
        <v>842542</v>
      </c>
      <c r="AF104" s="4">
        <v>1263813</v>
      </c>
      <c r="AG104" s="4">
        <v>1685084</v>
      </c>
      <c r="AH104" s="4">
        <v>2103755</v>
      </c>
      <c r="AI104" s="4">
        <v>2522426</v>
      </c>
      <c r="AJ104" s="4">
        <v>2941097</v>
      </c>
      <c r="AK104" s="4">
        <v>3359768</v>
      </c>
      <c r="AL104" s="4">
        <v>3778439</v>
      </c>
      <c r="AM104" s="4">
        <v>4197111</v>
      </c>
      <c r="AN104" s="154">
        <v>302595</v>
      </c>
    </row>
    <row r="105" spans="1:40" x14ac:dyDescent="0.2">
      <c r="A105" s="1">
        <v>2019</v>
      </c>
      <c r="B105" s="2" t="s">
        <v>125</v>
      </c>
      <c r="C105" s="2" t="s">
        <v>125</v>
      </c>
      <c r="D105" s="1" t="s">
        <v>478</v>
      </c>
      <c r="E105" s="3">
        <v>3598906</v>
      </c>
      <c r="F105" s="1">
        <v>862</v>
      </c>
      <c r="G105" s="3">
        <v>17465</v>
      </c>
      <c r="H105" s="1">
        <v>0</v>
      </c>
      <c r="I105" s="3">
        <v>3598044</v>
      </c>
      <c r="J105" s="3">
        <v>3580579</v>
      </c>
      <c r="K105" s="3">
        <v>3580579</v>
      </c>
      <c r="L105" s="3">
        <v>174274</v>
      </c>
      <c r="M105" s="3">
        <v>405990</v>
      </c>
      <c r="N105" s="3">
        <v>48657</v>
      </c>
      <c r="O105" s="3">
        <v>47469</v>
      </c>
      <c r="P105" s="3">
        <v>228289</v>
      </c>
      <c r="Q105" s="3">
        <v>2693365</v>
      </c>
      <c r="R105" s="3">
        <v>2675900</v>
      </c>
      <c r="S105" s="3">
        <v>2675900</v>
      </c>
      <c r="T105" s="3">
        <v>359804</v>
      </c>
      <c r="U105" s="3">
        <v>359804</v>
      </c>
      <c r="V105" s="3">
        <v>359804</v>
      </c>
      <c r="W105" s="3">
        <v>359804</v>
      </c>
      <c r="X105" s="3">
        <v>356894</v>
      </c>
      <c r="Y105" s="3">
        <v>356894</v>
      </c>
      <c r="Z105" s="4">
        <v>356894</v>
      </c>
      <c r="AA105" s="4">
        <v>356894</v>
      </c>
      <c r="AB105" s="4">
        <v>356894</v>
      </c>
      <c r="AC105" s="4">
        <v>356893</v>
      </c>
      <c r="AD105" s="4">
        <v>359804</v>
      </c>
      <c r="AE105" s="4">
        <v>719608</v>
      </c>
      <c r="AF105" s="4">
        <v>1079412</v>
      </c>
      <c r="AG105" s="4">
        <v>1439216</v>
      </c>
      <c r="AH105" s="4">
        <v>1796110</v>
      </c>
      <c r="AI105" s="4">
        <v>2153004</v>
      </c>
      <c r="AJ105" s="4">
        <v>2509898</v>
      </c>
      <c r="AK105" s="4">
        <v>2866792</v>
      </c>
      <c r="AL105" s="4">
        <v>3223686</v>
      </c>
      <c r="AM105" s="4">
        <v>3580579</v>
      </c>
      <c r="AN105" s="154">
        <v>327367</v>
      </c>
    </row>
    <row r="106" spans="1:40" x14ac:dyDescent="0.2">
      <c r="A106" s="1">
        <v>2019</v>
      </c>
      <c r="B106" s="2" t="s">
        <v>126</v>
      </c>
      <c r="C106" s="2" t="s">
        <v>126</v>
      </c>
      <c r="D106" s="1" t="s">
        <v>479</v>
      </c>
      <c r="E106" s="3">
        <v>2606953</v>
      </c>
      <c r="F106" s="1">
        <v>514</v>
      </c>
      <c r="G106" s="3">
        <v>11295</v>
      </c>
      <c r="H106" s="1">
        <v>0</v>
      </c>
      <c r="I106" s="3">
        <v>2606439</v>
      </c>
      <c r="J106" s="3">
        <v>2595144</v>
      </c>
      <c r="K106" s="3">
        <v>2595144</v>
      </c>
      <c r="L106" s="3">
        <v>103894</v>
      </c>
      <c r="M106" s="3">
        <v>308731</v>
      </c>
      <c r="N106" s="3">
        <v>33374</v>
      </c>
      <c r="O106" s="3">
        <v>32550</v>
      </c>
      <c r="P106" s="3">
        <v>147993</v>
      </c>
      <c r="Q106" s="3">
        <v>1979897</v>
      </c>
      <c r="R106" s="3">
        <v>1968602</v>
      </c>
      <c r="S106" s="3">
        <v>1968602</v>
      </c>
      <c r="T106" s="3">
        <v>260644</v>
      </c>
      <c r="U106" s="3">
        <v>260644</v>
      </c>
      <c r="V106" s="3">
        <v>260644</v>
      </c>
      <c r="W106" s="3">
        <v>260644</v>
      </c>
      <c r="X106" s="3">
        <v>258761</v>
      </c>
      <c r="Y106" s="3">
        <v>258761</v>
      </c>
      <c r="Z106" s="4">
        <v>258762</v>
      </c>
      <c r="AA106" s="4">
        <v>258762</v>
      </c>
      <c r="AB106" s="4">
        <v>258762</v>
      </c>
      <c r="AC106" s="4">
        <v>258760</v>
      </c>
      <c r="AD106" s="4">
        <v>260644</v>
      </c>
      <c r="AE106" s="4">
        <v>521288</v>
      </c>
      <c r="AF106" s="4">
        <v>781932</v>
      </c>
      <c r="AG106" s="4">
        <v>1042576</v>
      </c>
      <c r="AH106" s="4">
        <v>1301337</v>
      </c>
      <c r="AI106" s="4">
        <v>1560098</v>
      </c>
      <c r="AJ106" s="4">
        <v>1818860</v>
      </c>
      <c r="AK106" s="4">
        <v>2077622</v>
      </c>
      <c r="AL106" s="4">
        <v>2336384</v>
      </c>
      <c r="AM106" s="4">
        <v>2595144</v>
      </c>
      <c r="AN106" s="154">
        <v>212283</v>
      </c>
    </row>
    <row r="107" spans="1:40" x14ac:dyDescent="0.2">
      <c r="A107" s="1">
        <v>2019</v>
      </c>
      <c r="B107" s="2" t="s">
        <v>127</v>
      </c>
      <c r="C107" s="2" t="s">
        <v>127</v>
      </c>
      <c r="D107" s="1" t="s">
        <v>480</v>
      </c>
      <c r="E107" s="3">
        <v>1158272</v>
      </c>
      <c r="F107" s="3">
        <v>199</v>
      </c>
      <c r="G107" s="3">
        <v>4846</v>
      </c>
      <c r="H107" s="1">
        <v>0</v>
      </c>
      <c r="I107" s="3">
        <v>1158073</v>
      </c>
      <c r="J107" s="3">
        <v>1153227</v>
      </c>
      <c r="K107" s="3">
        <v>1153227</v>
      </c>
      <c r="L107" s="3">
        <v>40217</v>
      </c>
      <c r="M107" s="3">
        <v>128745</v>
      </c>
      <c r="N107" s="3">
        <v>18420</v>
      </c>
      <c r="O107" s="3">
        <v>12464</v>
      </c>
      <c r="P107" s="3">
        <v>63361</v>
      </c>
      <c r="Q107" s="3">
        <v>894866</v>
      </c>
      <c r="R107" s="3">
        <v>890020</v>
      </c>
      <c r="S107" s="3">
        <v>890020</v>
      </c>
      <c r="T107" s="3">
        <v>115807</v>
      </c>
      <c r="U107" s="3">
        <v>115807</v>
      </c>
      <c r="V107" s="3">
        <v>115807</v>
      </c>
      <c r="W107" s="3">
        <v>115807</v>
      </c>
      <c r="X107" s="3">
        <v>115000</v>
      </c>
      <c r="Y107" s="3">
        <v>115000</v>
      </c>
      <c r="Z107" s="4">
        <v>115000</v>
      </c>
      <c r="AA107" s="4">
        <v>115000</v>
      </c>
      <c r="AB107" s="4">
        <v>115000</v>
      </c>
      <c r="AC107" s="4">
        <v>114999</v>
      </c>
      <c r="AD107" s="4">
        <v>115807</v>
      </c>
      <c r="AE107" s="4">
        <v>231614</v>
      </c>
      <c r="AF107" s="4">
        <v>347421</v>
      </c>
      <c r="AG107" s="4">
        <v>463228</v>
      </c>
      <c r="AH107" s="4">
        <v>578228</v>
      </c>
      <c r="AI107" s="4">
        <v>693228</v>
      </c>
      <c r="AJ107" s="4">
        <v>808228</v>
      </c>
      <c r="AK107" s="4">
        <v>923228</v>
      </c>
      <c r="AL107" s="4">
        <v>1038228</v>
      </c>
      <c r="AM107" s="4">
        <v>1153227</v>
      </c>
      <c r="AN107" s="154">
        <v>91179</v>
      </c>
    </row>
    <row r="108" spans="1:40" x14ac:dyDescent="0.2">
      <c r="A108" s="1">
        <v>2019</v>
      </c>
      <c r="B108" s="2" t="s">
        <v>128</v>
      </c>
      <c r="C108" s="2" t="s">
        <v>128</v>
      </c>
      <c r="D108" s="1" t="s">
        <v>481</v>
      </c>
      <c r="E108" s="3">
        <v>8352794</v>
      </c>
      <c r="F108" s="3">
        <v>1045</v>
      </c>
      <c r="G108" s="3">
        <v>33059</v>
      </c>
      <c r="H108" s="1">
        <v>0</v>
      </c>
      <c r="I108" s="3">
        <v>8351749</v>
      </c>
      <c r="J108" s="3">
        <v>8318690</v>
      </c>
      <c r="K108" s="3">
        <v>8318690</v>
      </c>
      <c r="L108" s="3">
        <v>211139</v>
      </c>
      <c r="M108" s="3">
        <v>799662</v>
      </c>
      <c r="N108" s="3">
        <v>101836</v>
      </c>
      <c r="O108" s="3">
        <v>89581</v>
      </c>
      <c r="P108" s="3">
        <v>445110</v>
      </c>
      <c r="Q108" s="3">
        <v>6704421</v>
      </c>
      <c r="R108" s="3">
        <v>6671362</v>
      </c>
      <c r="S108" s="3">
        <v>6671362</v>
      </c>
      <c r="T108" s="3">
        <v>835175</v>
      </c>
      <c r="U108" s="3">
        <v>835175</v>
      </c>
      <c r="V108" s="3">
        <v>835175</v>
      </c>
      <c r="W108" s="3">
        <v>835175</v>
      </c>
      <c r="X108" s="3">
        <v>829665</v>
      </c>
      <c r="Y108" s="3">
        <v>829665</v>
      </c>
      <c r="Z108" s="4">
        <v>829665</v>
      </c>
      <c r="AA108" s="4">
        <v>829665</v>
      </c>
      <c r="AB108" s="4">
        <v>829665</v>
      </c>
      <c r="AC108" s="4">
        <v>829665</v>
      </c>
      <c r="AD108" s="4">
        <v>835175</v>
      </c>
      <c r="AE108" s="4">
        <v>1670350</v>
      </c>
      <c r="AF108" s="4">
        <v>2505525</v>
      </c>
      <c r="AG108" s="4">
        <v>3340700</v>
      </c>
      <c r="AH108" s="4">
        <v>4170365</v>
      </c>
      <c r="AI108" s="4">
        <v>5000030</v>
      </c>
      <c r="AJ108" s="4">
        <v>5829695</v>
      </c>
      <c r="AK108" s="4">
        <v>6659360</v>
      </c>
      <c r="AL108" s="4">
        <v>7489025</v>
      </c>
      <c r="AM108" s="4">
        <v>8318690</v>
      </c>
      <c r="AN108" s="154">
        <v>609845</v>
      </c>
    </row>
    <row r="109" spans="1:40" x14ac:dyDescent="0.2">
      <c r="A109" s="1">
        <v>2019</v>
      </c>
      <c r="B109" s="2" t="s">
        <v>129</v>
      </c>
      <c r="C109" s="2" t="s">
        <v>129</v>
      </c>
      <c r="D109" s="1" t="s">
        <v>482</v>
      </c>
      <c r="E109" s="3">
        <v>2327137</v>
      </c>
      <c r="F109" s="1">
        <v>381</v>
      </c>
      <c r="G109" s="3">
        <v>10336</v>
      </c>
      <c r="H109" s="1">
        <v>0</v>
      </c>
      <c r="I109" s="3">
        <v>2326756</v>
      </c>
      <c r="J109" s="3">
        <v>2316420</v>
      </c>
      <c r="K109" s="3">
        <v>2316420</v>
      </c>
      <c r="L109" s="3">
        <v>77083</v>
      </c>
      <c r="M109" s="3">
        <v>292612</v>
      </c>
      <c r="N109" s="3">
        <v>29493</v>
      </c>
      <c r="O109" s="3">
        <v>30825</v>
      </c>
      <c r="P109" s="3">
        <v>143047</v>
      </c>
      <c r="Q109" s="3">
        <v>1753696</v>
      </c>
      <c r="R109" s="3">
        <v>1743360</v>
      </c>
      <c r="S109" s="3">
        <v>1743360</v>
      </c>
      <c r="T109" s="3">
        <v>232676</v>
      </c>
      <c r="U109" s="3">
        <v>232676</v>
      </c>
      <c r="V109" s="3">
        <v>232676</v>
      </c>
      <c r="W109" s="3">
        <v>232676</v>
      </c>
      <c r="X109" s="3">
        <v>230953</v>
      </c>
      <c r="Y109" s="3">
        <v>230953</v>
      </c>
      <c r="Z109" s="4">
        <v>230953</v>
      </c>
      <c r="AA109" s="4">
        <v>230953</v>
      </c>
      <c r="AB109" s="4">
        <v>230953</v>
      </c>
      <c r="AC109" s="4">
        <v>230951</v>
      </c>
      <c r="AD109" s="4">
        <v>232676</v>
      </c>
      <c r="AE109" s="4">
        <v>465352</v>
      </c>
      <c r="AF109" s="4">
        <v>698028</v>
      </c>
      <c r="AG109" s="4">
        <v>930704</v>
      </c>
      <c r="AH109" s="4">
        <v>1161657</v>
      </c>
      <c r="AI109" s="4">
        <v>1392610</v>
      </c>
      <c r="AJ109" s="4">
        <v>1623563</v>
      </c>
      <c r="AK109" s="4">
        <v>1854516</v>
      </c>
      <c r="AL109" s="4">
        <v>2085469</v>
      </c>
      <c r="AM109" s="4">
        <v>2316420</v>
      </c>
      <c r="AN109" s="154">
        <v>186958</v>
      </c>
    </row>
    <row r="110" spans="1:40" x14ac:dyDescent="0.2">
      <c r="A110" s="1">
        <v>2019</v>
      </c>
      <c r="B110" s="2" t="s">
        <v>130</v>
      </c>
      <c r="C110" s="2" t="s">
        <v>130</v>
      </c>
      <c r="D110" s="1" t="s">
        <v>483</v>
      </c>
      <c r="E110" s="3">
        <v>8906766</v>
      </c>
      <c r="F110" s="3">
        <v>813</v>
      </c>
      <c r="G110" s="3">
        <v>39754</v>
      </c>
      <c r="H110" s="1">
        <v>0</v>
      </c>
      <c r="I110" s="3">
        <v>8905953</v>
      </c>
      <c r="J110" s="3">
        <v>8866199</v>
      </c>
      <c r="K110" s="3">
        <v>8866199</v>
      </c>
      <c r="L110" s="3">
        <v>160887</v>
      </c>
      <c r="M110" s="3">
        <v>967394</v>
      </c>
      <c r="N110" s="3">
        <v>111043</v>
      </c>
      <c r="O110" s="3">
        <v>101158</v>
      </c>
      <c r="P110" s="3">
        <v>529064</v>
      </c>
      <c r="Q110" s="3">
        <v>7036407</v>
      </c>
      <c r="R110" s="3">
        <v>6996653</v>
      </c>
      <c r="S110" s="3">
        <v>6996653</v>
      </c>
      <c r="T110" s="3">
        <v>890595</v>
      </c>
      <c r="U110" s="3">
        <v>890595</v>
      </c>
      <c r="V110" s="3">
        <v>890595</v>
      </c>
      <c r="W110" s="3">
        <v>890595</v>
      </c>
      <c r="X110" s="3">
        <v>883970</v>
      </c>
      <c r="Y110" s="3">
        <v>883970</v>
      </c>
      <c r="Z110" s="4">
        <v>883970</v>
      </c>
      <c r="AA110" s="4">
        <v>883970</v>
      </c>
      <c r="AB110" s="4">
        <v>883970</v>
      </c>
      <c r="AC110" s="4">
        <v>883969</v>
      </c>
      <c r="AD110" s="4">
        <v>890595</v>
      </c>
      <c r="AE110" s="4">
        <v>1781190</v>
      </c>
      <c r="AF110" s="4">
        <v>2671785</v>
      </c>
      <c r="AG110" s="4">
        <v>3562380</v>
      </c>
      <c r="AH110" s="4">
        <v>4446350</v>
      </c>
      <c r="AI110" s="4">
        <v>5330320</v>
      </c>
      <c r="AJ110" s="4">
        <v>6214290</v>
      </c>
      <c r="AK110" s="4">
        <v>7098260</v>
      </c>
      <c r="AL110" s="4">
        <v>7982230</v>
      </c>
      <c r="AM110" s="4">
        <v>8866199</v>
      </c>
      <c r="AN110" s="154">
        <v>725628</v>
      </c>
    </row>
    <row r="111" spans="1:40" x14ac:dyDescent="0.2">
      <c r="A111" s="1">
        <v>2019</v>
      </c>
      <c r="B111" s="2" t="s">
        <v>131</v>
      </c>
      <c r="C111" s="2" t="s">
        <v>131</v>
      </c>
      <c r="D111" s="1" t="s">
        <v>484</v>
      </c>
      <c r="E111" s="3">
        <v>6423327</v>
      </c>
      <c r="F111" s="3">
        <v>1194</v>
      </c>
      <c r="G111" s="3">
        <v>27289</v>
      </c>
      <c r="H111" s="1">
        <v>0</v>
      </c>
      <c r="I111" s="3">
        <v>6422133</v>
      </c>
      <c r="J111" s="3">
        <v>6394844</v>
      </c>
      <c r="K111" s="3">
        <v>6394844</v>
      </c>
      <c r="L111" s="3">
        <v>241302</v>
      </c>
      <c r="M111" s="3">
        <v>672476</v>
      </c>
      <c r="N111" s="3">
        <v>75614</v>
      </c>
      <c r="O111" s="3">
        <v>78311</v>
      </c>
      <c r="P111" s="3">
        <v>357310</v>
      </c>
      <c r="Q111" s="3">
        <v>4997120</v>
      </c>
      <c r="R111" s="3">
        <v>4969831</v>
      </c>
      <c r="S111" s="3">
        <v>4969831</v>
      </c>
      <c r="T111" s="3">
        <v>642213</v>
      </c>
      <c r="U111" s="3">
        <v>642213</v>
      </c>
      <c r="V111" s="3">
        <v>642213</v>
      </c>
      <c r="W111" s="3">
        <v>642213</v>
      </c>
      <c r="X111" s="3">
        <v>637665</v>
      </c>
      <c r="Y111" s="3">
        <v>637665</v>
      </c>
      <c r="Z111" s="4">
        <v>637666</v>
      </c>
      <c r="AA111" s="4">
        <v>637666</v>
      </c>
      <c r="AB111" s="4">
        <v>637666</v>
      </c>
      <c r="AC111" s="4">
        <v>637664</v>
      </c>
      <c r="AD111" s="4">
        <v>642213</v>
      </c>
      <c r="AE111" s="4">
        <v>1284426</v>
      </c>
      <c r="AF111" s="4">
        <v>1926639</v>
      </c>
      <c r="AG111" s="4">
        <v>2568852</v>
      </c>
      <c r="AH111" s="4">
        <v>3206517</v>
      </c>
      <c r="AI111" s="4">
        <v>3844182</v>
      </c>
      <c r="AJ111" s="4">
        <v>4481848</v>
      </c>
      <c r="AK111" s="4">
        <v>5119514</v>
      </c>
      <c r="AL111" s="4">
        <v>5757180</v>
      </c>
      <c r="AM111" s="4">
        <v>6394844</v>
      </c>
      <c r="AN111" s="154">
        <v>528415</v>
      </c>
    </row>
    <row r="112" spans="1:40" x14ac:dyDescent="0.2">
      <c r="A112" s="1">
        <v>2019</v>
      </c>
      <c r="B112" s="2" t="s">
        <v>132</v>
      </c>
      <c r="C112" s="2" t="s">
        <v>132</v>
      </c>
      <c r="D112" s="1" t="s">
        <v>485</v>
      </c>
      <c r="E112" s="3">
        <v>26334593</v>
      </c>
      <c r="F112" s="3">
        <v>3267</v>
      </c>
      <c r="G112" s="3">
        <v>94925</v>
      </c>
      <c r="H112" s="3">
        <v>459007</v>
      </c>
      <c r="I112" s="3">
        <v>26331326</v>
      </c>
      <c r="J112" s="3">
        <v>26236401</v>
      </c>
      <c r="K112" s="3">
        <v>25777394</v>
      </c>
      <c r="L112" s="3">
        <v>660229</v>
      </c>
      <c r="M112" s="3">
        <v>2249414</v>
      </c>
      <c r="N112" s="3">
        <v>296910</v>
      </c>
      <c r="O112" s="3">
        <v>261758</v>
      </c>
      <c r="P112" s="3">
        <v>1240765</v>
      </c>
      <c r="Q112" s="3">
        <v>21622250</v>
      </c>
      <c r="R112" s="3">
        <v>21527325</v>
      </c>
      <c r="S112" s="3">
        <v>21068318</v>
      </c>
      <c r="T112" s="3">
        <v>2633133</v>
      </c>
      <c r="U112" s="3">
        <v>2633133</v>
      </c>
      <c r="V112" s="3">
        <v>2633133</v>
      </c>
      <c r="W112" s="3">
        <v>2633133</v>
      </c>
      <c r="X112" s="3">
        <v>2617312</v>
      </c>
      <c r="Y112" s="3">
        <v>2617312</v>
      </c>
      <c r="Z112" s="4">
        <v>2502560</v>
      </c>
      <c r="AA112" s="4">
        <v>2502560</v>
      </c>
      <c r="AB112" s="4">
        <v>2502560</v>
      </c>
      <c r="AC112" s="4">
        <v>2502558</v>
      </c>
      <c r="AD112" s="4">
        <v>2633133</v>
      </c>
      <c r="AE112" s="4">
        <v>5266266</v>
      </c>
      <c r="AF112" s="4">
        <v>7899399</v>
      </c>
      <c r="AG112" s="4">
        <v>10532532</v>
      </c>
      <c r="AH112" s="4">
        <v>13149844</v>
      </c>
      <c r="AI112" s="4">
        <v>15767156</v>
      </c>
      <c r="AJ112" s="4">
        <v>18269716</v>
      </c>
      <c r="AK112" s="4">
        <v>20772276</v>
      </c>
      <c r="AL112" s="4">
        <v>23274836</v>
      </c>
      <c r="AM112" s="4">
        <v>25777394</v>
      </c>
      <c r="AN112" s="154">
        <v>1870677</v>
      </c>
    </row>
    <row r="113" spans="1:40" x14ac:dyDescent="0.2">
      <c r="A113" s="1">
        <v>2019</v>
      </c>
      <c r="B113" s="2" t="s">
        <v>133</v>
      </c>
      <c r="C113" s="2" t="s">
        <v>133</v>
      </c>
      <c r="D113" s="1" t="s">
        <v>486</v>
      </c>
      <c r="E113" s="3">
        <v>13350798</v>
      </c>
      <c r="F113" s="3">
        <v>1028</v>
      </c>
      <c r="G113" s="3">
        <v>53545</v>
      </c>
      <c r="H113" s="1">
        <v>0</v>
      </c>
      <c r="I113" s="3">
        <v>13349770</v>
      </c>
      <c r="J113" s="3">
        <v>13296225</v>
      </c>
      <c r="K113" s="3">
        <v>13296225</v>
      </c>
      <c r="L113" s="3">
        <v>207788</v>
      </c>
      <c r="M113" s="3">
        <v>1186976</v>
      </c>
      <c r="N113" s="3">
        <v>148380</v>
      </c>
      <c r="O113" s="3">
        <v>133032</v>
      </c>
      <c r="P113" s="3">
        <v>699885</v>
      </c>
      <c r="Q113" s="3">
        <v>10973709</v>
      </c>
      <c r="R113" s="3">
        <v>10920164</v>
      </c>
      <c r="S113" s="3">
        <v>10920164</v>
      </c>
      <c r="T113" s="3">
        <v>1334977</v>
      </c>
      <c r="U113" s="3">
        <v>1334977</v>
      </c>
      <c r="V113" s="3">
        <v>1334977</v>
      </c>
      <c r="W113" s="3">
        <v>1334977</v>
      </c>
      <c r="X113" s="3">
        <v>1326053</v>
      </c>
      <c r="Y113" s="3">
        <v>1326053</v>
      </c>
      <c r="Z113" s="4">
        <v>1326053</v>
      </c>
      <c r="AA113" s="4">
        <v>1326053</v>
      </c>
      <c r="AB113" s="4">
        <v>1326053</v>
      </c>
      <c r="AC113" s="4">
        <v>1326052</v>
      </c>
      <c r="AD113" s="4">
        <v>1334977</v>
      </c>
      <c r="AE113" s="4">
        <v>2669954</v>
      </c>
      <c r="AF113" s="4">
        <v>4004931</v>
      </c>
      <c r="AG113" s="4">
        <v>5339908</v>
      </c>
      <c r="AH113" s="4">
        <v>6665961</v>
      </c>
      <c r="AI113" s="4">
        <v>7992014</v>
      </c>
      <c r="AJ113" s="4">
        <v>9318067</v>
      </c>
      <c r="AK113" s="4">
        <v>10644120</v>
      </c>
      <c r="AL113" s="4">
        <v>11970173</v>
      </c>
      <c r="AM113" s="4">
        <v>13296225</v>
      </c>
      <c r="AN113" s="154">
        <v>957845</v>
      </c>
    </row>
    <row r="114" spans="1:40" x14ac:dyDescent="0.2">
      <c r="A114" s="1">
        <v>2019</v>
      </c>
      <c r="B114" s="2" t="s">
        <v>134</v>
      </c>
      <c r="C114" s="2" t="s">
        <v>134</v>
      </c>
      <c r="D114" s="1" t="s">
        <v>487</v>
      </c>
      <c r="E114" s="3">
        <v>2643699</v>
      </c>
      <c r="F114" s="3">
        <v>464</v>
      </c>
      <c r="G114" s="3">
        <v>11290</v>
      </c>
      <c r="H114" s="3">
        <v>0</v>
      </c>
      <c r="I114" s="3">
        <v>2643235</v>
      </c>
      <c r="J114" s="3">
        <v>2631945</v>
      </c>
      <c r="K114" s="3">
        <v>2631945</v>
      </c>
      <c r="L114" s="3">
        <v>93840</v>
      </c>
      <c r="M114" s="3">
        <v>262689</v>
      </c>
      <c r="N114" s="3">
        <v>33819</v>
      </c>
      <c r="O114" s="3">
        <v>25524</v>
      </c>
      <c r="P114" s="3">
        <v>147578</v>
      </c>
      <c r="Q114" s="3">
        <v>2079785</v>
      </c>
      <c r="R114" s="3">
        <v>2068495</v>
      </c>
      <c r="S114" s="3">
        <v>2068495</v>
      </c>
      <c r="T114" s="3">
        <v>264324</v>
      </c>
      <c r="U114" s="3">
        <v>264324</v>
      </c>
      <c r="V114" s="3">
        <v>264324</v>
      </c>
      <c r="W114" s="3">
        <v>264324</v>
      </c>
      <c r="X114" s="3">
        <v>262442</v>
      </c>
      <c r="Y114" s="3">
        <v>262442</v>
      </c>
      <c r="Z114" s="4">
        <v>262441</v>
      </c>
      <c r="AA114" s="4">
        <v>262441</v>
      </c>
      <c r="AB114" s="4">
        <v>262441</v>
      </c>
      <c r="AC114" s="4">
        <v>262442</v>
      </c>
      <c r="AD114" s="4">
        <v>264324</v>
      </c>
      <c r="AE114" s="4">
        <v>528648</v>
      </c>
      <c r="AF114" s="4">
        <v>792972</v>
      </c>
      <c r="AG114" s="4">
        <v>1057296</v>
      </c>
      <c r="AH114" s="4">
        <v>1319738</v>
      </c>
      <c r="AI114" s="4">
        <v>1582180</v>
      </c>
      <c r="AJ114" s="4">
        <v>1844621</v>
      </c>
      <c r="AK114" s="4">
        <v>2107062</v>
      </c>
      <c r="AL114" s="4">
        <v>2369503</v>
      </c>
      <c r="AM114" s="4">
        <v>2631945</v>
      </c>
      <c r="AN114" s="154">
        <v>198855</v>
      </c>
    </row>
    <row r="115" spans="1:40" x14ac:dyDescent="0.2">
      <c r="A115" s="1">
        <v>2019</v>
      </c>
      <c r="B115" s="2" t="s">
        <v>135</v>
      </c>
      <c r="C115" s="2" t="s">
        <v>135</v>
      </c>
      <c r="D115" s="1" t="s">
        <v>488</v>
      </c>
      <c r="E115" s="3">
        <v>2192590</v>
      </c>
      <c r="F115" s="3">
        <v>531</v>
      </c>
      <c r="G115" s="3">
        <v>11091</v>
      </c>
      <c r="H115" s="1">
        <v>0</v>
      </c>
      <c r="I115" s="3">
        <v>2192059</v>
      </c>
      <c r="J115" s="3">
        <v>2180968</v>
      </c>
      <c r="K115" s="3">
        <v>2180968</v>
      </c>
      <c r="L115" s="3">
        <v>107245</v>
      </c>
      <c r="M115" s="3">
        <v>278783</v>
      </c>
      <c r="N115" s="3">
        <v>30250</v>
      </c>
      <c r="O115" s="3">
        <v>28975</v>
      </c>
      <c r="P115" s="3">
        <v>144966</v>
      </c>
      <c r="Q115" s="3">
        <v>1601840</v>
      </c>
      <c r="R115" s="3">
        <v>1590749</v>
      </c>
      <c r="S115" s="3">
        <v>1590749</v>
      </c>
      <c r="T115" s="3">
        <v>219206</v>
      </c>
      <c r="U115" s="3">
        <v>219206</v>
      </c>
      <c r="V115" s="3">
        <v>219206</v>
      </c>
      <c r="W115" s="3">
        <v>219206</v>
      </c>
      <c r="X115" s="3">
        <v>217357</v>
      </c>
      <c r="Y115" s="3">
        <v>217357</v>
      </c>
      <c r="Z115" s="4">
        <v>217358</v>
      </c>
      <c r="AA115" s="4">
        <v>217358</v>
      </c>
      <c r="AB115" s="4">
        <v>217358</v>
      </c>
      <c r="AC115" s="4">
        <v>217356</v>
      </c>
      <c r="AD115" s="4">
        <v>219206</v>
      </c>
      <c r="AE115" s="4">
        <v>438412</v>
      </c>
      <c r="AF115" s="4">
        <v>657618</v>
      </c>
      <c r="AG115" s="4">
        <v>876824</v>
      </c>
      <c r="AH115" s="4">
        <v>1094181</v>
      </c>
      <c r="AI115" s="4">
        <v>1311538</v>
      </c>
      <c r="AJ115" s="4">
        <v>1528896</v>
      </c>
      <c r="AK115" s="4">
        <v>1746254</v>
      </c>
      <c r="AL115" s="4">
        <v>1963612</v>
      </c>
      <c r="AM115" s="4">
        <v>2180968</v>
      </c>
      <c r="AN115" s="154">
        <v>188599</v>
      </c>
    </row>
    <row r="116" spans="1:40" x14ac:dyDescent="0.2">
      <c r="A116" s="1">
        <v>2019</v>
      </c>
      <c r="B116" s="2" t="s">
        <v>136</v>
      </c>
      <c r="C116" s="2" t="s">
        <v>136</v>
      </c>
      <c r="D116" s="1" t="s">
        <v>489</v>
      </c>
      <c r="E116" s="3">
        <v>3953506</v>
      </c>
      <c r="F116" s="3">
        <v>1045</v>
      </c>
      <c r="G116" s="3">
        <v>22034</v>
      </c>
      <c r="H116" s="1">
        <v>0</v>
      </c>
      <c r="I116" s="3">
        <v>3952461</v>
      </c>
      <c r="J116" s="3">
        <v>3930427</v>
      </c>
      <c r="K116" s="3">
        <v>3930427</v>
      </c>
      <c r="L116" s="3">
        <v>211139</v>
      </c>
      <c r="M116" s="3">
        <v>543012</v>
      </c>
      <c r="N116" s="3">
        <v>62479</v>
      </c>
      <c r="O116" s="3">
        <v>60274</v>
      </c>
      <c r="P116" s="3">
        <v>288006</v>
      </c>
      <c r="Q116" s="3">
        <v>2787551</v>
      </c>
      <c r="R116" s="3">
        <v>2765517</v>
      </c>
      <c r="S116" s="3">
        <v>2765517</v>
      </c>
      <c r="T116" s="3">
        <v>395246</v>
      </c>
      <c r="U116" s="3">
        <v>395246</v>
      </c>
      <c r="V116" s="3">
        <v>395246</v>
      </c>
      <c r="W116" s="3">
        <v>395246</v>
      </c>
      <c r="X116" s="3">
        <v>391574</v>
      </c>
      <c r="Y116" s="3">
        <v>391574</v>
      </c>
      <c r="Z116" s="4">
        <v>391574</v>
      </c>
      <c r="AA116" s="4">
        <v>391574</v>
      </c>
      <c r="AB116" s="4">
        <v>391574</v>
      </c>
      <c r="AC116" s="4">
        <v>391573</v>
      </c>
      <c r="AD116" s="4">
        <v>395246</v>
      </c>
      <c r="AE116" s="4">
        <v>790492</v>
      </c>
      <c r="AF116" s="4">
        <v>1185738</v>
      </c>
      <c r="AG116" s="4">
        <v>1580984</v>
      </c>
      <c r="AH116" s="4">
        <v>1972558</v>
      </c>
      <c r="AI116" s="4">
        <v>2364132</v>
      </c>
      <c r="AJ116" s="4">
        <v>2755706</v>
      </c>
      <c r="AK116" s="4">
        <v>3147280</v>
      </c>
      <c r="AL116" s="4">
        <v>3538854</v>
      </c>
      <c r="AM116" s="4">
        <v>3930427</v>
      </c>
      <c r="AN116" s="154">
        <v>431055</v>
      </c>
    </row>
    <row r="117" spans="1:40" x14ac:dyDescent="0.2">
      <c r="A117" s="1">
        <v>2019</v>
      </c>
      <c r="B117" s="2" t="s">
        <v>137</v>
      </c>
      <c r="C117" s="2" t="s">
        <v>137</v>
      </c>
      <c r="D117" s="1" t="s">
        <v>490</v>
      </c>
      <c r="E117" s="3">
        <v>2053436</v>
      </c>
      <c r="F117" s="1">
        <v>315</v>
      </c>
      <c r="G117" s="3">
        <v>10646</v>
      </c>
      <c r="H117" s="1">
        <v>0</v>
      </c>
      <c r="I117" s="3">
        <v>2053121</v>
      </c>
      <c r="J117" s="3">
        <v>2042475</v>
      </c>
      <c r="K117" s="3">
        <v>2042475</v>
      </c>
      <c r="L117" s="3">
        <v>63677</v>
      </c>
      <c r="M117" s="3">
        <v>274849</v>
      </c>
      <c r="N117" s="3">
        <v>31093</v>
      </c>
      <c r="O117" s="3">
        <v>30551</v>
      </c>
      <c r="P117" s="3">
        <v>148381</v>
      </c>
      <c r="Q117" s="3">
        <v>1504570</v>
      </c>
      <c r="R117" s="3">
        <v>1493924</v>
      </c>
      <c r="S117" s="3">
        <v>1493924</v>
      </c>
      <c r="T117" s="3">
        <v>205312</v>
      </c>
      <c r="U117" s="3">
        <v>205312</v>
      </c>
      <c r="V117" s="3">
        <v>205312</v>
      </c>
      <c r="W117" s="3">
        <v>205312</v>
      </c>
      <c r="X117" s="3">
        <v>203538</v>
      </c>
      <c r="Y117" s="3">
        <v>203538</v>
      </c>
      <c r="Z117" s="4">
        <v>203538</v>
      </c>
      <c r="AA117" s="4">
        <v>203538</v>
      </c>
      <c r="AB117" s="4">
        <v>203538</v>
      </c>
      <c r="AC117" s="4">
        <v>203537</v>
      </c>
      <c r="AD117" s="4">
        <v>205312</v>
      </c>
      <c r="AE117" s="4">
        <v>410624</v>
      </c>
      <c r="AF117" s="4">
        <v>615936</v>
      </c>
      <c r="AG117" s="4">
        <v>821248</v>
      </c>
      <c r="AH117" s="4">
        <v>1024786</v>
      </c>
      <c r="AI117" s="4">
        <v>1228324</v>
      </c>
      <c r="AJ117" s="4">
        <v>1431862</v>
      </c>
      <c r="AK117" s="4">
        <v>1635400</v>
      </c>
      <c r="AL117" s="4">
        <v>1838938</v>
      </c>
      <c r="AM117" s="4">
        <v>2042475</v>
      </c>
      <c r="AN117" s="154">
        <v>194904</v>
      </c>
    </row>
    <row r="118" spans="1:40" x14ac:dyDescent="0.2">
      <c r="A118" s="1">
        <v>2019</v>
      </c>
      <c r="B118" s="2" t="s">
        <v>138</v>
      </c>
      <c r="C118" s="2" t="s">
        <v>138</v>
      </c>
      <c r="D118" s="1" t="s">
        <v>491</v>
      </c>
      <c r="E118" s="3">
        <v>8149120</v>
      </c>
      <c r="F118" s="1">
        <v>979</v>
      </c>
      <c r="G118" s="3">
        <v>37236</v>
      </c>
      <c r="H118" s="1">
        <v>0</v>
      </c>
      <c r="I118" s="3">
        <v>8148141</v>
      </c>
      <c r="J118" s="3">
        <v>8110905</v>
      </c>
      <c r="K118" s="3">
        <v>8110905</v>
      </c>
      <c r="L118" s="3">
        <v>197733</v>
      </c>
      <c r="M118" s="3">
        <v>818678</v>
      </c>
      <c r="N118" s="3">
        <v>79007</v>
      </c>
      <c r="O118" s="3">
        <v>90754</v>
      </c>
      <c r="P118" s="3">
        <v>486714</v>
      </c>
      <c r="Q118" s="3">
        <v>6475255</v>
      </c>
      <c r="R118" s="3">
        <v>6438019</v>
      </c>
      <c r="S118" s="3">
        <v>6438019</v>
      </c>
      <c r="T118" s="3">
        <v>814814</v>
      </c>
      <c r="U118" s="3">
        <v>814814</v>
      </c>
      <c r="V118" s="3">
        <v>814814</v>
      </c>
      <c r="W118" s="3">
        <v>814814</v>
      </c>
      <c r="X118" s="3">
        <v>808608</v>
      </c>
      <c r="Y118" s="3">
        <v>808608</v>
      </c>
      <c r="Z118" s="4">
        <v>808608</v>
      </c>
      <c r="AA118" s="4">
        <v>808608</v>
      </c>
      <c r="AB118" s="4">
        <v>808608</v>
      </c>
      <c r="AC118" s="4">
        <v>808609</v>
      </c>
      <c r="AD118" s="4">
        <v>814814</v>
      </c>
      <c r="AE118" s="4">
        <v>1629628</v>
      </c>
      <c r="AF118" s="4">
        <v>2444442</v>
      </c>
      <c r="AG118" s="4">
        <v>3259256</v>
      </c>
      <c r="AH118" s="4">
        <v>4067864</v>
      </c>
      <c r="AI118" s="4">
        <v>4876472</v>
      </c>
      <c r="AJ118" s="4">
        <v>5685080</v>
      </c>
      <c r="AK118" s="4">
        <v>6493688</v>
      </c>
      <c r="AL118" s="4">
        <v>7302296</v>
      </c>
      <c r="AM118" s="4">
        <v>8110905</v>
      </c>
      <c r="AN118" s="154">
        <v>640009</v>
      </c>
    </row>
    <row r="119" spans="1:40" x14ac:dyDescent="0.2">
      <c r="A119" s="1">
        <v>2019</v>
      </c>
      <c r="B119" s="2" t="s">
        <v>139</v>
      </c>
      <c r="C119" s="2" t="s">
        <v>139</v>
      </c>
      <c r="D119" s="1" t="s">
        <v>492</v>
      </c>
      <c r="E119" s="3">
        <v>754865</v>
      </c>
      <c r="F119" s="1">
        <v>265</v>
      </c>
      <c r="G119" s="3">
        <v>3647</v>
      </c>
      <c r="H119" s="1">
        <v>0</v>
      </c>
      <c r="I119" s="3">
        <v>754600</v>
      </c>
      <c r="J119" s="3">
        <v>750953</v>
      </c>
      <c r="K119" s="3">
        <v>750953</v>
      </c>
      <c r="L119" s="3">
        <v>53623</v>
      </c>
      <c r="M119" s="3">
        <v>95558</v>
      </c>
      <c r="N119" s="3">
        <v>7729</v>
      </c>
      <c r="O119" s="3">
        <v>11283</v>
      </c>
      <c r="P119" s="3">
        <v>47669</v>
      </c>
      <c r="Q119" s="3">
        <v>538738</v>
      </c>
      <c r="R119" s="3">
        <v>535091</v>
      </c>
      <c r="S119" s="3">
        <v>535091</v>
      </c>
      <c r="T119" s="3">
        <v>75460</v>
      </c>
      <c r="U119" s="3">
        <v>75460</v>
      </c>
      <c r="V119" s="3">
        <v>75460</v>
      </c>
      <c r="W119" s="3">
        <v>75460</v>
      </c>
      <c r="X119" s="3">
        <v>74852</v>
      </c>
      <c r="Y119" s="3">
        <v>74852</v>
      </c>
      <c r="Z119" s="4">
        <v>74852</v>
      </c>
      <c r="AA119" s="4">
        <v>74852</v>
      </c>
      <c r="AB119" s="4">
        <v>74852</v>
      </c>
      <c r="AC119" s="4">
        <v>74853</v>
      </c>
      <c r="AD119" s="4">
        <v>75460</v>
      </c>
      <c r="AE119" s="4">
        <v>150920</v>
      </c>
      <c r="AF119" s="4">
        <v>226380</v>
      </c>
      <c r="AG119" s="4">
        <v>301840</v>
      </c>
      <c r="AH119" s="4">
        <v>376692</v>
      </c>
      <c r="AI119" s="4">
        <v>451544</v>
      </c>
      <c r="AJ119" s="4">
        <v>526396</v>
      </c>
      <c r="AK119" s="4">
        <v>601248</v>
      </c>
      <c r="AL119" s="4">
        <v>676100</v>
      </c>
      <c r="AM119" s="4">
        <v>750953</v>
      </c>
      <c r="AN119" s="154">
        <v>71706</v>
      </c>
    </row>
    <row r="120" spans="1:40" x14ac:dyDescent="0.2">
      <c r="A120" s="1">
        <v>2019</v>
      </c>
      <c r="B120" s="2" t="s">
        <v>140</v>
      </c>
      <c r="C120" s="2" t="s">
        <v>140</v>
      </c>
      <c r="D120" s="1" t="s">
        <v>493</v>
      </c>
      <c r="E120" s="3">
        <v>3255461</v>
      </c>
      <c r="F120" s="3">
        <v>564</v>
      </c>
      <c r="G120" s="3">
        <v>14605</v>
      </c>
      <c r="H120" s="1">
        <v>0</v>
      </c>
      <c r="I120" s="3">
        <v>3254897</v>
      </c>
      <c r="J120" s="3">
        <v>3240292</v>
      </c>
      <c r="K120" s="3">
        <v>3240292</v>
      </c>
      <c r="L120" s="3">
        <v>113948</v>
      </c>
      <c r="M120" s="3">
        <v>368168</v>
      </c>
      <c r="N120" s="3">
        <v>32387</v>
      </c>
      <c r="O120" s="3">
        <v>37935</v>
      </c>
      <c r="P120" s="3">
        <v>190905</v>
      </c>
      <c r="Q120" s="3">
        <v>2511554</v>
      </c>
      <c r="R120" s="3">
        <v>2496949</v>
      </c>
      <c r="S120" s="3">
        <v>2496949</v>
      </c>
      <c r="T120" s="3">
        <v>325490</v>
      </c>
      <c r="U120" s="3">
        <v>325490</v>
      </c>
      <c r="V120" s="3">
        <v>325490</v>
      </c>
      <c r="W120" s="3">
        <v>325490</v>
      </c>
      <c r="X120" s="3">
        <v>323055</v>
      </c>
      <c r="Y120" s="3">
        <v>323055</v>
      </c>
      <c r="Z120" s="4">
        <v>323056</v>
      </c>
      <c r="AA120" s="4">
        <v>323056</v>
      </c>
      <c r="AB120" s="4">
        <v>323056</v>
      </c>
      <c r="AC120" s="4">
        <v>323054</v>
      </c>
      <c r="AD120" s="4">
        <v>325490</v>
      </c>
      <c r="AE120" s="4">
        <v>650980</v>
      </c>
      <c r="AF120" s="4">
        <v>976470</v>
      </c>
      <c r="AG120" s="4">
        <v>1301960</v>
      </c>
      <c r="AH120" s="4">
        <v>1625015</v>
      </c>
      <c r="AI120" s="4">
        <v>1948070</v>
      </c>
      <c r="AJ120" s="4">
        <v>2271126</v>
      </c>
      <c r="AK120" s="4">
        <v>2594182</v>
      </c>
      <c r="AL120" s="4">
        <v>2917238</v>
      </c>
      <c r="AM120" s="4">
        <v>3240292</v>
      </c>
      <c r="AN120" s="154">
        <v>266993</v>
      </c>
    </row>
    <row r="121" spans="1:40" x14ac:dyDescent="0.2">
      <c r="A121" s="1">
        <v>2019</v>
      </c>
      <c r="B121" s="2" t="s">
        <v>141</v>
      </c>
      <c r="C121" s="2" t="s">
        <v>141</v>
      </c>
      <c r="D121" s="1" t="s">
        <v>494</v>
      </c>
      <c r="E121" s="3">
        <v>11974041</v>
      </c>
      <c r="F121" s="3">
        <v>1459</v>
      </c>
      <c r="G121" s="3">
        <v>49433</v>
      </c>
      <c r="H121" s="1">
        <v>0</v>
      </c>
      <c r="I121" s="3">
        <v>11972582</v>
      </c>
      <c r="J121" s="3">
        <v>11923149</v>
      </c>
      <c r="K121" s="3">
        <v>11923149</v>
      </c>
      <c r="L121" s="3">
        <v>294925</v>
      </c>
      <c r="M121" s="3">
        <v>1099651</v>
      </c>
      <c r="N121" s="3">
        <v>136135</v>
      </c>
      <c r="O121" s="3">
        <v>118997</v>
      </c>
      <c r="P121" s="3">
        <v>646144</v>
      </c>
      <c r="Q121" s="3">
        <v>9676730</v>
      </c>
      <c r="R121" s="3">
        <v>9627297</v>
      </c>
      <c r="S121" s="3">
        <v>9627297</v>
      </c>
      <c r="T121" s="3">
        <v>1197258</v>
      </c>
      <c r="U121" s="3">
        <v>1197258</v>
      </c>
      <c r="V121" s="3">
        <v>1197258</v>
      </c>
      <c r="W121" s="3">
        <v>1197258</v>
      </c>
      <c r="X121" s="3">
        <v>1189020</v>
      </c>
      <c r="Y121" s="3">
        <v>1189020</v>
      </c>
      <c r="Z121" s="4">
        <v>1189019</v>
      </c>
      <c r="AA121" s="4">
        <v>1189019</v>
      </c>
      <c r="AB121" s="4">
        <v>1189019</v>
      </c>
      <c r="AC121" s="4">
        <v>1189020</v>
      </c>
      <c r="AD121" s="4">
        <v>1197258</v>
      </c>
      <c r="AE121" s="4">
        <v>2394516</v>
      </c>
      <c r="AF121" s="4">
        <v>3591774</v>
      </c>
      <c r="AG121" s="4">
        <v>4789032</v>
      </c>
      <c r="AH121" s="4">
        <v>5978052</v>
      </c>
      <c r="AI121" s="4">
        <v>7167072</v>
      </c>
      <c r="AJ121" s="4">
        <v>8356091</v>
      </c>
      <c r="AK121" s="4">
        <v>9545110</v>
      </c>
      <c r="AL121" s="4">
        <v>10734129</v>
      </c>
      <c r="AM121" s="4">
        <v>11923149</v>
      </c>
      <c r="AN121" s="154">
        <v>859366</v>
      </c>
    </row>
    <row r="122" spans="1:40" x14ac:dyDescent="0.2">
      <c r="A122" s="1">
        <v>2019</v>
      </c>
      <c r="B122" s="2" t="s">
        <v>142</v>
      </c>
      <c r="C122" s="2" t="s">
        <v>142</v>
      </c>
      <c r="D122" s="1" t="s">
        <v>495</v>
      </c>
      <c r="E122" s="3">
        <v>1467749</v>
      </c>
      <c r="F122" s="1">
        <v>415</v>
      </c>
      <c r="G122" s="3">
        <v>6944</v>
      </c>
      <c r="H122" s="1">
        <v>0</v>
      </c>
      <c r="I122" s="3">
        <v>1467334</v>
      </c>
      <c r="J122" s="3">
        <v>1460390</v>
      </c>
      <c r="K122" s="3">
        <v>1460390</v>
      </c>
      <c r="L122" s="3">
        <v>83785</v>
      </c>
      <c r="M122" s="3">
        <v>175715</v>
      </c>
      <c r="N122" s="3">
        <v>19021</v>
      </c>
      <c r="O122" s="3">
        <v>18595</v>
      </c>
      <c r="P122" s="3">
        <v>90767</v>
      </c>
      <c r="Q122" s="3">
        <v>1079451</v>
      </c>
      <c r="R122" s="3">
        <v>1072507</v>
      </c>
      <c r="S122" s="3">
        <v>1072507</v>
      </c>
      <c r="T122" s="3">
        <v>146733</v>
      </c>
      <c r="U122" s="3">
        <v>146733</v>
      </c>
      <c r="V122" s="3">
        <v>146733</v>
      </c>
      <c r="W122" s="3">
        <v>146733</v>
      </c>
      <c r="X122" s="3">
        <v>145576</v>
      </c>
      <c r="Y122" s="3">
        <v>145576</v>
      </c>
      <c r="Z122" s="4">
        <v>145577</v>
      </c>
      <c r="AA122" s="4">
        <v>145577</v>
      </c>
      <c r="AB122" s="4">
        <v>145577</v>
      </c>
      <c r="AC122" s="4">
        <v>145575</v>
      </c>
      <c r="AD122" s="4">
        <v>146733</v>
      </c>
      <c r="AE122" s="4">
        <v>293466</v>
      </c>
      <c r="AF122" s="4">
        <v>440199</v>
      </c>
      <c r="AG122" s="4">
        <v>586932</v>
      </c>
      <c r="AH122" s="4">
        <v>732508</v>
      </c>
      <c r="AI122" s="4">
        <v>878084</v>
      </c>
      <c r="AJ122" s="4">
        <v>1023661</v>
      </c>
      <c r="AK122" s="4">
        <v>1169238</v>
      </c>
      <c r="AL122" s="4">
        <v>1314815</v>
      </c>
      <c r="AM122" s="4">
        <v>1460390</v>
      </c>
      <c r="AN122" s="154">
        <v>122337</v>
      </c>
    </row>
    <row r="123" spans="1:40" x14ac:dyDescent="0.2">
      <c r="A123" s="1">
        <v>2019</v>
      </c>
      <c r="B123" s="2" t="s">
        <v>143</v>
      </c>
      <c r="C123" s="2" t="s">
        <v>143</v>
      </c>
      <c r="D123" s="1" t="s">
        <v>496</v>
      </c>
      <c r="E123" s="3">
        <v>1704606</v>
      </c>
      <c r="F123" s="3">
        <v>216</v>
      </c>
      <c r="G123" s="3">
        <v>9742</v>
      </c>
      <c r="H123" s="1">
        <v>0</v>
      </c>
      <c r="I123" s="3">
        <v>1704390</v>
      </c>
      <c r="J123" s="3">
        <v>1694648</v>
      </c>
      <c r="K123" s="3">
        <v>1694648</v>
      </c>
      <c r="L123" s="3">
        <v>43568</v>
      </c>
      <c r="M123" s="3">
        <v>240006</v>
      </c>
      <c r="N123" s="3">
        <v>27850</v>
      </c>
      <c r="O123" s="3">
        <v>22729</v>
      </c>
      <c r="P123" s="3">
        <v>127335</v>
      </c>
      <c r="Q123" s="3">
        <v>1242902</v>
      </c>
      <c r="R123" s="3">
        <v>1233160</v>
      </c>
      <c r="S123" s="3">
        <v>1233160</v>
      </c>
      <c r="T123" s="3">
        <v>170439</v>
      </c>
      <c r="U123" s="3">
        <v>170439</v>
      </c>
      <c r="V123" s="3">
        <v>170439</v>
      </c>
      <c r="W123" s="3">
        <v>170439</v>
      </c>
      <c r="X123" s="3">
        <v>168815</v>
      </c>
      <c r="Y123" s="3">
        <v>168815</v>
      </c>
      <c r="Z123" s="4">
        <v>168816</v>
      </c>
      <c r="AA123" s="4">
        <v>168816</v>
      </c>
      <c r="AB123" s="4">
        <v>168816</v>
      </c>
      <c r="AC123" s="4">
        <v>168814</v>
      </c>
      <c r="AD123" s="4">
        <v>170439</v>
      </c>
      <c r="AE123" s="4">
        <v>340878</v>
      </c>
      <c r="AF123" s="4">
        <v>511317</v>
      </c>
      <c r="AG123" s="4">
        <v>681756</v>
      </c>
      <c r="AH123" s="4">
        <v>850571</v>
      </c>
      <c r="AI123" s="4">
        <v>1019386</v>
      </c>
      <c r="AJ123" s="4">
        <v>1188202</v>
      </c>
      <c r="AK123" s="4">
        <v>1357018</v>
      </c>
      <c r="AL123" s="4">
        <v>1525834</v>
      </c>
      <c r="AM123" s="4">
        <v>1694648</v>
      </c>
      <c r="AN123" s="154">
        <v>169449</v>
      </c>
    </row>
    <row r="124" spans="1:40" x14ac:dyDescent="0.2">
      <c r="A124" s="1">
        <v>2019</v>
      </c>
      <c r="B124" s="2" t="s">
        <v>144</v>
      </c>
      <c r="C124" s="2" t="s">
        <v>144</v>
      </c>
      <c r="D124" s="1" t="s">
        <v>497</v>
      </c>
      <c r="E124" s="3">
        <v>3823160</v>
      </c>
      <c r="F124" s="3">
        <v>365</v>
      </c>
      <c r="G124" s="3">
        <v>16081</v>
      </c>
      <c r="H124" s="1">
        <v>0</v>
      </c>
      <c r="I124" s="3">
        <v>3822795</v>
      </c>
      <c r="J124" s="3">
        <v>3806714</v>
      </c>
      <c r="K124" s="3">
        <v>3806714</v>
      </c>
      <c r="L124" s="3">
        <v>73731</v>
      </c>
      <c r="M124" s="3">
        <v>406487</v>
      </c>
      <c r="N124" s="3">
        <v>45755</v>
      </c>
      <c r="O124" s="3">
        <v>46558</v>
      </c>
      <c r="P124" s="3">
        <v>214490</v>
      </c>
      <c r="Q124" s="3">
        <v>3035774</v>
      </c>
      <c r="R124" s="3">
        <v>3019693</v>
      </c>
      <c r="S124" s="3">
        <v>3019693</v>
      </c>
      <c r="T124" s="3">
        <v>382280</v>
      </c>
      <c r="U124" s="3">
        <v>382280</v>
      </c>
      <c r="V124" s="3">
        <v>382280</v>
      </c>
      <c r="W124" s="3">
        <v>382280</v>
      </c>
      <c r="X124" s="3">
        <v>379599</v>
      </c>
      <c r="Y124" s="3">
        <v>379599</v>
      </c>
      <c r="Z124" s="4">
        <v>379599</v>
      </c>
      <c r="AA124" s="4">
        <v>379599</v>
      </c>
      <c r="AB124" s="4">
        <v>379599</v>
      </c>
      <c r="AC124" s="4">
        <v>379599</v>
      </c>
      <c r="AD124" s="4">
        <v>382280</v>
      </c>
      <c r="AE124" s="4">
        <v>764560</v>
      </c>
      <c r="AF124" s="4">
        <v>1146840</v>
      </c>
      <c r="AG124" s="4">
        <v>1529120</v>
      </c>
      <c r="AH124" s="4">
        <v>1908719</v>
      </c>
      <c r="AI124" s="4">
        <v>2288318</v>
      </c>
      <c r="AJ124" s="4">
        <v>2667917</v>
      </c>
      <c r="AK124" s="4">
        <v>3047516</v>
      </c>
      <c r="AL124" s="4">
        <v>3427115</v>
      </c>
      <c r="AM124" s="4">
        <v>3806714</v>
      </c>
      <c r="AN124" s="154">
        <v>283433</v>
      </c>
    </row>
    <row r="125" spans="1:40" x14ac:dyDescent="0.2">
      <c r="A125" s="1">
        <v>2019</v>
      </c>
      <c r="B125" s="2" t="s">
        <v>145</v>
      </c>
      <c r="C125" s="2" t="s">
        <v>145</v>
      </c>
      <c r="D125" s="1" t="s">
        <v>4</v>
      </c>
      <c r="E125" s="3">
        <v>1422664</v>
      </c>
      <c r="F125" s="3">
        <v>315</v>
      </c>
      <c r="G125" s="3">
        <v>7029</v>
      </c>
      <c r="H125" s="1">
        <v>0</v>
      </c>
      <c r="I125" s="3">
        <v>1422349</v>
      </c>
      <c r="J125" s="3">
        <v>1415320</v>
      </c>
      <c r="K125" s="3">
        <v>1415320</v>
      </c>
      <c r="L125" s="3">
        <v>63677</v>
      </c>
      <c r="M125" s="3">
        <v>193132</v>
      </c>
      <c r="N125" s="3">
        <v>22929</v>
      </c>
      <c r="O125" s="3">
        <v>22852</v>
      </c>
      <c r="P125" s="3">
        <v>92875</v>
      </c>
      <c r="Q125" s="3">
        <v>1026884</v>
      </c>
      <c r="R125" s="3">
        <v>1019855</v>
      </c>
      <c r="S125" s="3">
        <v>1019855</v>
      </c>
      <c r="T125" s="3">
        <v>142235</v>
      </c>
      <c r="U125" s="3">
        <v>142235</v>
      </c>
      <c r="V125" s="3">
        <v>142235</v>
      </c>
      <c r="W125" s="3">
        <v>142235</v>
      </c>
      <c r="X125" s="3">
        <v>141063</v>
      </c>
      <c r="Y125" s="3">
        <v>141063</v>
      </c>
      <c r="Z125" s="4">
        <v>141064</v>
      </c>
      <c r="AA125" s="4">
        <v>141064</v>
      </c>
      <c r="AB125" s="4">
        <v>141064</v>
      </c>
      <c r="AC125" s="4">
        <v>141062</v>
      </c>
      <c r="AD125" s="4">
        <v>142235</v>
      </c>
      <c r="AE125" s="4">
        <v>284470</v>
      </c>
      <c r="AF125" s="4">
        <v>426705</v>
      </c>
      <c r="AG125" s="4">
        <v>568940</v>
      </c>
      <c r="AH125" s="4">
        <v>710003</v>
      </c>
      <c r="AI125" s="4">
        <v>851066</v>
      </c>
      <c r="AJ125" s="4">
        <v>992130</v>
      </c>
      <c r="AK125" s="4">
        <v>1133194</v>
      </c>
      <c r="AL125" s="4">
        <v>1274258</v>
      </c>
      <c r="AM125" s="4">
        <v>1415320</v>
      </c>
      <c r="AN125" s="154">
        <v>135003</v>
      </c>
    </row>
    <row r="126" spans="1:40" x14ac:dyDescent="0.2">
      <c r="A126" s="1">
        <v>2019</v>
      </c>
      <c r="B126" s="2" t="s">
        <v>146</v>
      </c>
      <c r="C126" s="2" t="s">
        <v>146</v>
      </c>
      <c r="D126" s="1" t="s">
        <v>498</v>
      </c>
      <c r="E126" s="3">
        <v>9665445</v>
      </c>
      <c r="F126" s="3">
        <v>1526</v>
      </c>
      <c r="G126" s="3">
        <v>39919</v>
      </c>
      <c r="H126" s="1">
        <v>0</v>
      </c>
      <c r="I126" s="3">
        <v>9663919</v>
      </c>
      <c r="J126" s="3">
        <v>9624000</v>
      </c>
      <c r="K126" s="3">
        <v>9624000</v>
      </c>
      <c r="L126" s="3">
        <v>308330</v>
      </c>
      <c r="M126" s="3">
        <v>912225</v>
      </c>
      <c r="N126" s="3">
        <v>111036</v>
      </c>
      <c r="O126" s="3">
        <v>99785</v>
      </c>
      <c r="P126" s="3">
        <v>521919</v>
      </c>
      <c r="Q126" s="3">
        <v>7710624</v>
      </c>
      <c r="R126" s="3">
        <v>7670705</v>
      </c>
      <c r="S126" s="3">
        <v>7670705</v>
      </c>
      <c r="T126" s="3">
        <v>966392</v>
      </c>
      <c r="U126" s="3">
        <v>966392</v>
      </c>
      <c r="V126" s="3">
        <v>966392</v>
      </c>
      <c r="W126" s="3">
        <v>966392</v>
      </c>
      <c r="X126" s="3">
        <v>959739</v>
      </c>
      <c r="Y126" s="3">
        <v>959739</v>
      </c>
      <c r="Z126" s="4">
        <v>959739</v>
      </c>
      <c r="AA126" s="4">
        <v>959739</v>
      </c>
      <c r="AB126" s="4">
        <v>959739</v>
      </c>
      <c r="AC126" s="4">
        <v>959737</v>
      </c>
      <c r="AD126" s="4">
        <v>966392</v>
      </c>
      <c r="AE126" s="4">
        <v>1932784</v>
      </c>
      <c r="AF126" s="4">
        <v>2899176</v>
      </c>
      <c r="AG126" s="4">
        <v>3865568</v>
      </c>
      <c r="AH126" s="4">
        <v>4825307</v>
      </c>
      <c r="AI126" s="4">
        <v>5785046</v>
      </c>
      <c r="AJ126" s="4">
        <v>6744785</v>
      </c>
      <c r="AK126" s="4">
        <v>7704524</v>
      </c>
      <c r="AL126" s="4">
        <v>8664263</v>
      </c>
      <c r="AM126" s="4">
        <v>9624000</v>
      </c>
      <c r="AN126" s="154">
        <v>739669</v>
      </c>
    </row>
    <row r="127" spans="1:40" x14ac:dyDescent="0.2">
      <c r="A127" s="1">
        <v>2019</v>
      </c>
      <c r="B127" s="2" t="s">
        <v>147</v>
      </c>
      <c r="C127" s="2" t="s">
        <v>147</v>
      </c>
      <c r="D127" s="1" t="s">
        <v>499</v>
      </c>
      <c r="E127" s="3">
        <v>2889110</v>
      </c>
      <c r="F127" s="1">
        <v>398</v>
      </c>
      <c r="G127" s="3">
        <v>12587</v>
      </c>
      <c r="H127" s="1">
        <v>0</v>
      </c>
      <c r="I127" s="3">
        <v>2888712</v>
      </c>
      <c r="J127" s="3">
        <v>2876125</v>
      </c>
      <c r="K127" s="3">
        <v>2876125</v>
      </c>
      <c r="L127" s="3">
        <v>80434</v>
      </c>
      <c r="M127" s="3">
        <v>290866</v>
      </c>
      <c r="N127" s="3">
        <v>30505</v>
      </c>
      <c r="O127" s="3">
        <v>30237</v>
      </c>
      <c r="P127" s="3">
        <v>167001</v>
      </c>
      <c r="Q127" s="3">
        <v>2289669</v>
      </c>
      <c r="R127" s="3">
        <v>2277082</v>
      </c>
      <c r="S127" s="3">
        <v>2277082</v>
      </c>
      <c r="T127" s="3">
        <v>288871</v>
      </c>
      <c r="U127" s="3">
        <v>288871</v>
      </c>
      <c r="V127" s="3">
        <v>288871</v>
      </c>
      <c r="W127" s="3">
        <v>288871</v>
      </c>
      <c r="X127" s="3">
        <v>286774</v>
      </c>
      <c r="Y127" s="3">
        <v>286774</v>
      </c>
      <c r="Z127" s="4">
        <v>286773</v>
      </c>
      <c r="AA127" s="4">
        <v>286773</v>
      </c>
      <c r="AB127" s="4">
        <v>286773</v>
      </c>
      <c r="AC127" s="4">
        <v>286774</v>
      </c>
      <c r="AD127" s="4">
        <v>288871</v>
      </c>
      <c r="AE127" s="4">
        <v>577742</v>
      </c>
      <c r="AF127" s="4">
        <v>866613</v>
      </c>
      <c r="AG127" s="4">
        <v>1155484</v>
      </c>
      <c r="AH127" s="4">
        <v>1442258</v>
      </c>
      <c r="AI127" s="4">
        <v>1729032</v>
      </c>
      <c r="AJ127" s="4">
        <v>2015805</v>
      </c>
      <c r="AK127" s="4">
        <v>2302578</v>
      </c>
      <c r="AL127" s="4">
        <v>2589351</v>
      </c>
      <c r="AM127" s="4">
        <v>2876125</v>
      </c>
      <c r="AN127" s="154">
        <v>229813</v>
      </c>
    </row>
    <row r="128" spans="1:40" x14ac:dyDescent="0.2">
      <c r="A128" s="1">
        <v>2019</v>
      </c>
      <c r="B128" s="2" t="s">
        <v>148</v>
      </c>
      <c r="C128" s="2" t="s">
        <v>148</v>
      </c>
      <c r="D128" s="1" t="s">
        <v>500</v>
      </c>
      <c r="E128" s="3">
        <v>4105474</v>
      </c>
      <c r="F128" s="3">
        <v>813</v>
      </c>
      <c r="G128" s="3">
        <v>16341</v>
      </c>
      <c r="H128" s="1">
        <v>0</v>
      </c>
      <c r="I128" s="3">
        <v>4104661</v>
      </c>
      <c r="J128" s="3">
        <v>4088320</v>
      </c>
      <c r="K128" s="3">
        <v>4088320</v>
      </c>
      <c r="L128" s="3">
        <v>164219</v>
      </c>
      <c r="M128" s="3">
        <v>413919</v>
      </c>
      <c r="N128" s="3">
        <v>39926</v>
      </c>
      <c r="O128" s="3">
        <v>44276</v>
      </c>
      <c r="P128" s="3">
        <v>213596</v>
      </c>
      <c r="Q128" s="3">
        <v>3228725</v>
      </c>
      <c r="R128" s="3">
        <v>3212384</v>
      </c>
      <c r="S128" s="3">
        <v>3212384</v>
      </c>
      <c r="T128" s="3">
        <v>410466</v>
      </c>
      <c r="U128" s="3">
        <v>410466</v>
      </c>
      <c r="V128" s="3">
        <v>410466</v>
      </c>
      <c r="W128" s="3">
        <v>410466</v>
      </c>
      <c r="X128" s="3">
        <v>407743</v>
      </c>
      <c r="Y128" s="3">
        <v>407743</v>
      </c>
      <c r="Z128" s="4">
        <v>407743</v>
      </c>
      <c r="AA128" s="4">
        <v>407743</v>
      </c>
      <c r="AB128" s="4">
        <v>407743</v>
      </c>
      <c r="AC128" s="4">
        <v>407741</v>
      </c>
      <c r="AD128" s="4">
        <v>410466</v>
      </c>
      <c r="AE128" s="4">
        <v>820932</v>
      </c>
      <c r="AF128" s="4">
        <v>1231398</v>
      </c>
      <c r="AG128" s="4">
        <v>1641864</v>
      </c>
      <c r="AH128" s="4">
        <v>2049607</v>
      </c>
      <c r="AI128" s="4">
        <v>2457350</v>
      </c>
      <c r="AJ128" s="4">
        <v>2865093</v>
      </c>
      <c r="AK128" s="4">
        <v>3272836</v>
      </c>
      <c r="AL128" s="4">
        <v>3680579</v>
      </c>
      <c r="AM128" s="4">
        <v>4088320</v>
      </c>
      <c r="AN128" s="154">
        <v>303267</v>
      </c>
    </row>
    <row r="129" spans="1:40" x14ac:dyDescent="0.2">
      <c r="A129" s="1">
        <v>2019</v>
      </c>
      <c r="B129" s="2" t="s">
        <v>149</v>
      </c>
      <c r="C129" s="2" t="s">
        <v>149</v>
      </c>
      <c r="D129" s="1" t="s">
        <v>501</v>
      </c>
      <c r="E129" s="3">
        <v>2765078</v>
      </c>
      <c r="F129" s="1">
        <v>431</v>
      </c>
      <c r="G129" s="3">
        <v>11181</v>
      </c>
      <c r="H129" s="1">
        <v>0</v>
      </c>
      <c r="I129" s="3">
        <v>2764647</v>
      </c>
      <c r="J129" s="3">
        <v>2753466</v>
      </c>
      <c r="K129" s="3">
        <v>2753466</v>
      </c>
      <c r="L129" s="3">
        <v>87137</v>
      </c>
      <c r="M129" s="3">
        <v>278939</v>
      </c>
      <c r="N129" s="3">
        <v>33941</v>
      </c>
      <c r="O129" s="3">
        <v>28456</v>
      </c>
      <c r="P129" s="3">
        <v>149771</v>
      </c>
      <c r="Q129" s="3">
        <v>2186403</v>
      </c>
      <c r="R129" s="3">
        <v>2175222</v>
      </c>
      <c r="S129" s="3">
        <v>2175222</v>
      </c>
      <c r="T129" s="3">
        <v>276465</v>
      </c>
      <c r="U129" s="3">
        <v>276465</v>
      </c>
      <c r="V129" s="3">
        <v>276465</v>
      </c>
      <c r="W129" s="3">
        <v>276465</v>
      </c>
      <c r="X129" s="3">
        <v>274601</v>
      </c>
      <c r="Y129" s="3">
        <v>274601</v>
      </c>
      <c r="Z129" s="4">
        <v>274601</v>
      </c>
      <c r="AA129" s="4">
        <v>274601</v>
      </c>
      <c r="AB129" s="4">
        <v>274601</v>
      </c>
      <c r="AC129" s="4">
        <v>274601</v>
      </c>
      <c r="AD129" s="4">
        <v>276465</v>
      </c>
      <c r="AE129" s="4">
        <v>552930</v>
      </c>
      <c r="AF129" s="4">
        <v>829395</v>
      </c>
      <c r="AG129" s="4">
        <v>1105860</v>
      </c>
      <c r="AH129" s="4">
        <v>1380461</v>
      </c>
      <c r="AI129" s="4">
        <v>1655062</v>
      </c>
      <c r="AJ129" s="4">
        <v>1929663</v>
      </c>
      <c r="AK129" s="4">
        <v>2204264</v>
      </c>
      <c r="AL129" s="4">
        <v>2478865</v>
      </c>
      <c r="AM129" s="4">
        <v>2753466</v>
      </c>
      <c r="AN129" s="154">
        <v>193917</v>
      </c>
    </row>
    <row r="130" spans="1:40" x14ac:dyDescent="0.2">
      <c r="A130" s="1">
        <v>2019</v>
      </c>
      <c r="B130" s="2" t="s">
        <v>150</v>
      </c>
      <c r="C130" s="2" t="s">
        <v>150</v>
      </c>
      <c r="D130" s="1" t="s">
        <v>502</v>
      </c>
      <c r="E130" s="3">
        <v>2517882</v>
      </c>
      <c r="F130" s="1">
        <v>614</v>
      </c>
      <c r="G130" s="3">
        <v>14273</v>
      </c>
      <c r="H130" s="1">
        <v>0</v>
      </c>
      <c r="I130" s="3">
        <v>2517268</v>
      </c>
      <c r="J130" s="3">
        <v>2502995</v>
      </c>
      <c r="K130" s="3">
        <v>2502995</v>
      </c>
      <c r="L130" s="3">
        <v>124002</v>
      </c>
      <c r="M130" s="3">
        <v>333951</v>
      </c>
      <c r="N130" s="3">
        <v>33935</v>
      </c>
      <c r="O130" s="3">
        <v>37795</v>
      </c>
      <c r="P130" s="3">
        <v>186591</v>
      </c>
      <c r="Q130" s="3">
        <v>1800994</v>
      </c>
      <c r="R130" s="3">
        <v>1786721</v>
      </c>
      <c r="S130" s="3">
        <v>1786721</v>
      </c>
      <c r="T130" s="3">
        <v>251727</v>
      </c>
      <c r="U130" s="3">
        <v>251727</v>
      </c>
      <c r="V130" s="3">
        <v>251727</v>
      </c>
      <c r="W130" s="3">
        <v>251727</v>
      </c>
      <c r="X130" s="3">
        <v>249348</v>
      </c>
      <c r="Y130" s="3">
        <v>249348</v>
      </c>
      <c r="Z130" s="4">
        <v>249348</v>
      </c>
      <c r="AA130" s="4">
        <v>249348</v>
      </c>
      <c r="AB130" s="4">
        <v>249348</v>
      </c>
      <c r="AC130" s="4">
        <v>249347</v>
      </c>
      <c r="AD130" s="4">
        <v>251727</v>
      </c>
      <c r="AE130" s="4">
        <v>503454</v>
      </c>
      <c r="AF130" s="4">
        <v>755181</v>
      </c>
      <c r="AG130" s="4">
        <v>1006908</v>
      </c>
      <c r="AH130" s="4">
        <v>1256256</v>
      </c>
      <c r="AI130" s="4">
        <v>1505604</v>
      </c>
      <c r="AJ130" s="4">
        <v>1754952</v>
      </c>
      <c r="AK130" s="4">
        <v>2004300</v>
      </c>
      <c r="AL130" s="4">
        <v>2253648</v>
      </c>
      <c r="AM130" s="4">
        <v>2502995</v>
      </c>
      <c r="AN130" s="154">
        <v>261198</v>
      </c>
    </row>
    <row r="131" spans="1:40" x14ac:dyDescent="0.2">
      <c r="A131" s="1">
        <v>2019</v>
      </c>
      <c r="B131" s="2" t="s">
        <v>151</v>
      </c>
      <c r="C131" s="2" t="s">
        <v>151</v>
      </c>
      <c r="D131" s="1" t="s">
        <v>5</v>
      </c>
      <c r="E131" s="3">
        <v>1908198</v>
      </c>
      <c r="F131" s="3">
        <v>481</v>
      </c>
      <c r="G131" s="3">
        <v>8335</v>
      </c>
      <c r="H131" s="1">
        <v>0</v>
      </c>
      <c r="I131" s="3">
        <v>1907717</v>
      </c>
      <c r="J131" s="3">
        <v>1899382</v>
      </c>
      <c r="K131" s="3">
        <v>1899382</v>
      </c>
      <c r="L131" s="3">
        <v>97191</v>
      </c>
      <c r="M131" s="3">
        <v>201959</v>
      </c>
      <c r="N131" s="3">
        <v>21170</v>
      </c>
      <c r="O131" s="3">
        <v>20840</v>
      </c>
      <c r="P131" s="3">
        <v>108953</v>
      </c>
      <c r="Q131" s="3">
        <v>1457604</v>
      </c>
      <c r="R131" s="3">
        <v>1449269</v>
      </c>
      <c r="S131" s="3">
        <v>1449269</v>
      </c>
      <c r="T131" s="3">
        <v>190772</v>
      </c>
      <c r="U131" s="3">
        <v>190772</v>
      </c>
      <c r="V131" s="3">
        <v>190772</v>
      </c>
      <c r="W131" s="3">
        <v>190772</v>
      </c>
      <c r="X131" s="3">
        <v>189382</v>
      </c>
      <c r="Y131" s="3">
        <v>189382</v>
      </c>
      <c r="Z131" s="4">
        <v>189383</v>
      </c>
      <c r="AA131" s="4">
        <v>189383</v>
      </c>
      <c r="AB131" s="4">
        <v>189383</v>
      </c>
      <c r="AC131" s="4">
        <v>189381</v>
      </c>
      <c r="AD131" s="4">
        <v>190772</v>
      </c>
      <c r="AE131" s="4">
        <v>381544</v>
      </c>
      <c r="AF131" s="4">
        <v>572316</v>
      </c>
      <c r="AG131" s="4">
        <v>763088</v>
      </c>
      <c r="AH131" s="4">
        <v>952470</v>
      </c>
      <c r="AI131" s="4">
        <v>1141852</v>
      </c>
      <c r="AJ131" s="4">
        <v>1331235</v>
      </c>
      <c r="AK131" s="4">
        <v>1520618</v>
      </c>
      <c r="AL131" s="4">
        <v>1710001</v>
      </c>
      <c r="AM131" s="4">
        <v>1899382</v>
      </c>
      <c r="AN131" s="154">
        <v>143951</v>
      </c>
    </row>
    <row r="132" spans="1:40" x14ac:dyDescent="0.2">
      <c r="A132" s="1">
        <v>2019</v>
      </c>
      <c r="B132" s="2" t="s">
        <v>152</v>
      </c>
      <c r="C132" s="2" t="s">
        <v>152</v>
      </c>
      <c r="D132" s="1" t="s">
        <v>503</v>
      </c>
      <c r="E132" s="3">
        <v>1088107</v>
      </c>
      <c r="F132" s="1">
        <v>232</v>
      </c>
      <c r="G132" s="3">
        <v>5520</v>
      </c>
      <c r="H132" s="1">
        <v>0</v>
      </c>
      <c r="I132" s="3">
        <v>1087875</v>
      </c>
      <c r="J132" s="3">
        <v>1082355</v>
      </c>
      <c r="K132" s="3">
        <v>1082355</v>
      </c>
      <c r="L132" s="3">
        <v>46920</v>
      </c>
      <c r="M132" s="3">
        <v>138154</v>
      </c>
      <c r="N132" s="3">
        <v>16114</v>
      </c>
      <c r="O132" s="3">
        <v>14248</v>
      </c>
      <c r="P132" s="3">
        <v>75968</v>
      </c>
      <c r="Q132" s="3">
        <v>796471</v>
      </c>
      <c r="R132" s="3">
        <v>790951</v>
      </c>
      <c r="S132" s="3">
        <v>790951</v>
      </c>
      <c r="T132" s="3">
        <v>108788</v>
      </c>
      <c r="U132" s="3">
        <v>108788</v>
      </c>
      <c r="V132" s="3">
        <v>108788</v>
      </c>
      <c r="W132" s="3">
        <v>108788</v>
      </c>
      <c r="X132" s="3">
        <v>107867</v>
      </c>
      <c r="Y132" s="3">
        <v>107867</v>
      </c>
      <c r="Z132" s="4">
        <v>107867</v>
      </c>
      <c r="AA132" s="4">
        <v>107867</v>
      </c>
      <c r="AB132" s="4">
        <v>107867</v>
      </c>
      <c r="AC132" s="4">
        <v>107868</v>
      </c>
      <c r="AD132" s="4">
        <v>108788</v>
      </c>
      <c r="AE132" s="4">
        <v>217576</v>
      </c>
      <c r="AF132" s="4">
        <v>326364</v>
      </c>
      <c r="AG132" s="4">
        <v>435152</v>
      </c>
      <c r="AH132" s="4">
        <v>543019</v>
      </c>
      <c r="AI132" s="4">
        <v>650886</v>
      </c>
      <c r="AJ132" s="4">
        <v>758753</v>
      </c>
      <c r="AK132" s="4">
        <v>866620</v>
      </c>
      <c r="AL132" s="4">
        <v>974487</v>
      </c>
      <c r="AM132" s="4">
        <v>1082355</v>
      </c>
      <c r="AN132" s="154">
        <v>103435</v>
      </c>
    </row>
    <row r="133" spans="1:40" x14ac:dyDescent="0.2">
      <c r="A133" s="1">
        <v>2019</v>
      </c>
      <c r="B133" s="2" t="s">
        <v>153</v>
      </c>
      <c r="C133" s="2" t="s">
        <v>153</v>
      </c>
      <c r="D133" s="1" t="s">
        <v>504</v>
      </c>
      <c r="E133" s="3">
        <v>7994730</v>
      </c>
      <c r="F133" s="1">
        <v>829</v>
      </c>
      <c r="G133" s="3">
        <v>29980</v>
      </c>
      <c r="H133" s="1">
        <v>0</v>
      </c>
      <c r="I133" s="3">
        <v>7993901</v>
      </c>
      <c r="J133" s="3">
        <v>7963921</v>
      </c>
      <c r="K133" s="3">
        <v>7963921</v>
      </c>
      <c r="L133" s="3">
        <v>167571</v>
      </c>
      <c r="M133" s="3">
        <v>725809</v>
      </c>
      <c r="N133" s="3">
        <v>93592</v>
      </c>
      <c r="O133" s="3">
        <v>78613</v>
      </c>
      <c r="P133" s="3">
        <v>391865</v>
      </c>
      <c r="Q133" s="3">
        <v>6536451</v>
      </c>
      <c r="R133" s="3">
        <v>6506471</v>
      </c>
      <c r="S133" s="3">
        <v>6506471</v>
      </c>
      <c r="T133" s="3">
        <v>799390</v>
      </c>
      <c r="U133" s="3">
        <v>799390</v>
      </c>
      <c r="V133" s="3">
        <v>799390</v>
      </c>
      <c r="W133" s="3">
        <v>799390</v>
      </c>
      <c r="X133" s="3">
        <v>794394</v>
      </c>
      <c r="Y133" s="3">
        <v>794394</v>
      </c>
      <c r="Z133" s="4">
        <v>794393</v>
      </c>
      <c r="AA133" s="4">
        <v>794393</v>
      </c>
      <c r="AB133" s="4">
        <v>794393</v>
      </c>
      <c r="AC133" s="4">
        <v>794394</v>
      </c>
      <c r="AD133" s="4">
        <v>799390</v>
      </c>
      <c r="AE133" s="4">
        <v>1598780</v>
      </c>
      <c r="AF133" s="4">
        <v>2398170</v>
      </c>
      <c r="AG133" s="4">
        <v>3197560</v>
      </c>
      <c r="AH133" s="4">
        <v>3991954</v>
      </c>
      <c r="AI133" s="4">
        <v>4786348</v>
      </c>
      <c r="AJ133" s="4">
        <v>5580741</v>
      </c>
      <c r="AK133" s="4">
        <v>6375134</v>
      </c>
      <c r="AL133" s="4">
        <v>7169527</v>
      </c>
      <c r="AM133" s="4">
        <v>7963921</v>
      </c>
      <c r="AN133" s="154">
        <v>559110</v>
      </c>
    </row>
    <row r="134" spans="1:40" x14ac:dyDescent="0.2">
      <c r="A134" s="1">
        <v>2019</v>
      </c>
      <c r="B134" s="2" t="s">
        <v>154</v>
      </c>
      <c r="C134" s="2" t="s">
        <v>154</v>
      </c>
      <c r="D134" s="1" t="s">
        <v>505</v>
      </c>
      <c r="E134" s="3">
        <v>8423181</v>
      </c>
      <c r="F134" s="3">
        <v>1128</v>
      </c>
      <c r="G134" s="3">
        <v>35742</v>
      </c>
      <c r="H134" s="1">
        <v>0</v>
      </c>
      <c r="I134" s="3">
        <v>8422053</v>
      </c>
      <c r="J134" s="3">
        <v>8386311</v>
      </c>
      <c r="K134" s="3">
        <v>8386311</v>
      </c>
      <c r="L134" s="3">
        <v>227896</v>
      </c>
      <c r="M134" s="3">
        <v>830208</v>
      </c>
      <c r="N134" s="3">
        <v>96571</v>
      </c>
      <c r="O134" s="3">
        <v>97487</v>
      </c>
      <c r="P134" s="3">
        <v>467189</v>
      </c>
      <c r="Q134" s="3">
        <v>6702702</v>
      </c>
      <c r="R134" s="3">
        <v>6666960</v>
      </c>
      <c r="S134" s="3">
        <v>6666960</v>
      </c>
      <c r="T134" s="3">
        <v>842205</v>
      </c>
      <c r="U134" s="3">
        <v>842205</v>
      </c>
      <c r="V134" s="3">
        <v>842205</v>
      </c>
      <c r="W134" s="3">
        <v>842205</v>
      </c>
      <c r="X134" s="3">
        <v>836249</v>
      </c>
      <c r="Y134" s="3">
        <v>836249</v>
      </c>
      <c r="Z134" s="4">
        <v>836248</v>
      </c>
      <c r="AA134" s="4">
        <v>836248</v>
      </c>
      <c r="AB134" s="4">
        <v>836248</v>
      </c>
      <c r="AC134" s="4">
        <v>836249</v>
      </c>
      <c r="AD134" s="4">
        <v>842205</v>
      </c>
      <c r="AE134" s="4">
        <v>1684410</v>
      </c>
      <c r="AF134" s="4">
        <v>2526615</v>
      </c>
      <c r="AG134" s="4">
        <v>3368820</v>
      </c>
      <c r="AH134" s="4">
        <v>4205069</v>
      </c>
      <c r="AI134" s="4">
        <v>5041318</v>
      </c>
      <c r="AJ134" s="4">
        <v>5877566</v>
      </c>
      <c r="AK134" s="4">
        <v>6713814</v>
      </c>
      <c r="AL134" s="4">
        <v>7550062</v>
      </c>
      <c r="AM134" s="4">
        <v>8386311</v>
      </c>
      <c r="AN134" s="154">
        <v>626046</v>
      </c>
    </row>
    <row r="135" spans="1:40" x14ac:dyDescent="0.2">
      <c r="A135" s="1">
        <v>2019</v>
      </c>
      <c r="B135" s="2" t="s">
        <v>155</v>
      </c>
      <c r="C135" s="2" t="s">
        <v>155</v>
      </c>
      <c r="D135" s="1" t="s">
        <v>506</v>
      </c>
      <c r="E135" s="3">
        <v>2287203</v>
      </c>
      <c r="F135" s="3">
        <v>232</v>
      </c>
      <c r="G135" s="3">
        <v>8650</v>
      </c>
      <c r="H135" s="1">
        <v>0</v>
      </c>
      <c r="I135" s="3">
        <v>2286971</v>
      </c>
      <c r="J135" s="3">
        <v>2278321</v>
      </c>
      <c r="K135" s="3">
        <v>2278321</v>
      </c>
      <c r="L135" s="3">
        <v>46920</v>
      </c>
      <c r="M135" s="3">
        <v>197654</v>
      </c>
      <c r="N135" s="3">
        <v>24123</v>
      </c>
      <c r="O135" s="3">
        <v>19095</v>
      </c>
      <c r="P135" s="3">
        <v>113067</v>
      </c>
      <c r="Q135" s="3">
        <v>1886112</v>
      </c>
      <c r="R135" s="3">
        <v>1877462</v>
      </c>
      <c r="S135" s="3">
        <v>1877462</v>
      </c>
      <c r="T135" s="3">
        <v>228697</v>
      </c>
      <c r="U135" s="3">
        <v>228697</v>
      </c>
      <c r="V135" s="3">
        <v>228697</v>
      </c>
      <c r="W135" s="3">
        <v>228697</v>
      </c>
      <c r="X135" s="3">
        <v>227256</v>
      </c>
      <c r="Y135" s="3">
        <v>227256</v>
      </c>
      <c r="Z135" s="4">
        <v>227255</v>
      </c>
      <c r="AA135" s="4">
        <v>227255</v>
      </c>
      <c r="AB135" s="4">
        <v>227255</v>
      </c>
      <c r="AC135" s="4">
        <v>227256</v>
      </c>
      <c r="AD135" s="4">
        <v>228697</v>
      </c>
      <c r="AE135" s="4">
        <v>457394</v>
      </c>
      <c r="AF135" s="4">
        <v>686091</v>
      </c>
      <c r="AG135" s="4">
        <v>914788</v>
      </c>
      <c r="AH135" s="4">
        <v>1142044</v>
      </c>
      <c r="AI135" s="4">
        <v>1369300</v>
      </c>
      <c r="AJ135" s="4">
        <v>1596555</v>
      </c>
      <c r="AK135" s="4">
        <v>1823810</v>
      </c>
      <c r="AL135" s="4">
        <v>2051065</v>
      </c>
      <c r="AM135" s="4">
        <v>2278321</v>
      </c>
      <c r="AN135" s="154">
        <v>150156</v>
      </c>
    </row>
    <row r="136" spans="1:40" x14ac:dyDescent="0.2">
      <c r="A136" s="1">
        <v>2019</v>
      </c>
      <c r="B136" s="2" t="s">
        <v>156</v>
      </c>
      <c r="C136" s="2" t="s">
        <v>156</v>
      </c>
      <c r="D136" s="1" t="s">
        <v>507</v>
      </c>
      <c r="E136" s="3">
        <v>1071350</v>
      </c>
      <c r="F136" s="3">
        <v>332</v>
      </c>
      <c r="G136" s="3">
        <v>7666</v>
      </c>
      <c r="H136" s="1">
        <v>0</v>
      </c>
      <c r="I136" s="3">
        <v>1071018</v>
      </c>
      <c r="J136" s="3">
        <v>1063352</v>
      </c>
      <c r="K136" s="3">
        <v>1063352</v>
      </c>
      <c r="L136" s="3">
        <v>67028</v>
      </c>
      <c r="M136" s="3">
        <v>186371</v>
      </c>
      <c r="N136" s="3">
        <v>25218</v>
      </c>
      <c r="O136" s="3">
        <v>19433</v>
      </c>
      <c r="P136" s="3">
        <v>100203</v>
      </c>
      <c r="Q136" s="3">
        <v>672765</v>
      </c>
      <c r="R136" s="3">
        <v>665099</v>
      </c>
      <c r="S136" s="3">
        <v>665099</v>
      </c>
      <c r="T136" s="3">
        <v>107102</v>
      </c>
      <c r="U136" s="3">
        <v>107102</v>
      </c>
      <c r="V136" s="3">
        <v>107102</v>
      </c>
      <c r="W136" s="3">
        <v>107102</v>
      </c>
      <c r="X136" s="3">
        <v>105824</v>
      </c>
      <c r="Y136" s="3">
        <v>105824</v>
      </c>
      <c r="Z136" s="4">
        <v>105824</v>
      </c>
      <c r="AA136" s="4">
        <v>105824</v>
      </c>
      <c r="AB136" s="4">
        <v>105824</v>
      </c>
      <c r="AC136" s="4">
        <v>105824</v>
      </c>
      <c r="AD136" s="4">
        <v>107102</v>
      </c>
      <c r="AE136" s="4">
        <v>214204</v>
      </c>
      <c r="AF136" s="4">
        <v>321306</v>
      </c>
      <c r="AG136" s="4">
        <v>428408</v>
      </c>
      <c r="AH136" s="4">
        <v>534232</v>
      </c>
      <c r="AI136" s="4">
        <v>640056</v>
      </c>
      <c r="AJ136" s="4">
        <v>745880</v>
      </c>
      <c r="AK136" s="4">
        <v>851704</v>
      </c>
      <c r="AL136" s="4">
        <v>957528</v>
      </c>
      <c r="AM136" s="4">
        <v>1063352</v>
      </c>
      <c r="AN136" s="154">
        <v>140402</v>
      </c>
    </row>
    <row r="137" spans="1:40" x14ac:dyDescent="0.2">
      <c r="A137" s="1">
        <v>2019</v>
      </c>
      <c r="B137" s="2" t="s">
        <v>157</v>
      </c>
      <c r="C137" s="2" t="s">
        <v>157</v>
      </c>
      <c r="D137" s="1" t="s">
        <v>508</v>
      </c>
      <c r="E137" s="3">
        <v>3188803</v>
      </c>
      <c r="F137" s="1">
        <v>647</v>
      </c>
      <c r="G137" s="3">
        <v>15684</v>
      </c>
      <c r="H137" s="1">
        <v>0</v>
      </c>
      <c r="I137" s="3">
        <v>3188156</v>
      </c>
      <c r="J137" s="3">
        <v>3172472</v>
      </c>
      <c r="K137" s="3">
        <v>3172472</v>
      </c>
      <c r="L137" s="3">
        <v>130705</v>
      </c>
      <c r="M137" s="3">
        <v>387884</v>
      </c>
      <c r="N137" s="3">
        <v>38938</v>
      </c>
      <c r="O137" s="3">
        <v>41827</v>
      </c>
      <c r="P137" s="3">
        <v>206117</v>
      </c>
      <c r="Q137" s="3">
        <v>2382685</v>
      </c>
      <c r="R137" s="3">
        <v>2367001</v>
      </c>
      <c r="S137" s="3">
        <v>2367001</v>
      </c>
      <c r="T137" s="3">
        <v>318816</v>
      </c>
      <c r="U137" s="3">
        <v>318816</v>
      </c>
      <c r="V137" s="3">
        <v>318816</v>
      </c>
      <c r="W137" s="3">
        <v>318816</v>
      </c>
      <c r="X137" s="3">
        <v>316201</v>
      </c>
      <c r="Y137" s="3">
        <v>316201</v>
      </c>
      <c r="Z137" s="4">
        <v>316202</v>
      </c>
      <c r="AA137" s="4">
        <v>316202</v>
      </c>
      <c r="AB137" s="4">
        <v>316202</v>
      </c>
      <c r="AC137" s="4">
        <v>316200</v>
      </c>
      <c r="AD137" s="4">
        <v>318816</v>
      </c>
      <c r="AE137" s="4">
        <v>637632</v>
      </c>
      <c r="AF137" s="4">
        <v>956448</v>
      </c>
      <c r="AG137" s="4">
        <v>1275264</v>
      </c>
      <c r="AH137" s="4">
        <v>1591465</v>
      </c>
      <c r="AI137" s="4">
        <v>1907666</v>
      </c>
      <c r="AJ137" s="4">
        <v>2223868</v>
      </c>
      <c r="AK137" s="4">
        <v>2540070</v>
      </c>
      <c r="AL137" s="4">
        <v>2856272</v>
      </c>
      <c r="AM137" s="4">
        <v>3172472</v>
      </c>
      <c r="AN137" s="154">
        <v>296393</v>
      </c>
    </row>
    <row r="138" spans="1:40" x14ac:dyDescent="0.2">
      <c r="A138" s="1">
        <v>2019</v>
      </c>
      <c r="B138" s="2" t="s">
        <v>158</v>
      </c>
      <c r="C138" s="2" t="s">
        <v>158</v>
      </c>
      <c r="D138" s="1" t="s">
        <v>509</v>
      </c>
      <c r="E138" s="3">
        <v>3316116</v>
      </c>
      <c r="F138" s="1">
        <v>597</v>
      </c>
      <c r="G138" s="3">
        <v>15417</v>
      </c>
      <c r="H138" s="1">
        <v>0</v>
      </c>
      <c r="I138" s="3">
        <v>3315519</v>
      </c>
      <c r="J138" s="3">
        <v>3300102</v>
      </c>
      <c r="K138" s="3">
        <v>3300102</v>
      </c>
      <c r="L138" s="3">
        <v>120651</v>
      </c>
      <c r="M138" s="3">
        <v>381859</v>
      </c>
      <c r="N138" s="3">
        <v>45020</v>
      </c>
      <c r="O138" s="3">
        <v>40338</v>
      </c>
      <c r="P138" s="3">
        <v>203434</v>
      </c>
      <c r="Q138" s="3">
        <v>2524217</v>
      </c>
      <c r="R138" s="3">
        <v>2508800</v>
      </c>
      <c r="S138" s="3">
        <v>2508800</v>
      </c>
      <c r="T138" s="3">
        <v>331552</v>
      </c>
      <c r="U138" s="3">
        <v>331552</v>
      </c>
      <c r="V138" s="3">
        <v>331552</v>
      </c>
      <c r="W138" s="3">
        <v>331552</v>
      </c>
      <c r="X138" s="3">
        <v>328982</v>
      </c>
      <c r="Y138" s="3">
        <v>328982</v>
      </c>
      <c r="Z138" s="4">
        <v>328983</v>
      </c>
      <c r="AA138" s="4">
        <v>328983</v>
      </c>
      <c r="AB138" s="4">
        <v>328983</v>
      </c>
      <c r="AC138" s="4">
        <v>328981</v>
      </c>
      <c r="AD138" s="4">
        <v>331552</v>
      </c>
      <c r="AE138" s="4">
        <v>663104</v>
      </c>
      <c r="AF138" s="4">
        <v>994656</v>
      </c>
      <c r="AG138" s="4">
        <v>1326208</v>
      </c>
      <c r="AH138" s="4">
        <v>1655190</v>
      </c>
      <c r="AI138" s="4">
        <v>1984172</v>
      </c>
      <c r="AJ138" s="4">
        <v>2313155</v>
      </c>
      <c r="AK138" s="4">
        <v>2642138</v>
      </c>
      <c r="AL138" s="4">
        <v>2971121</v>
      </c>
      <c r="AM138" s="4">
        <v>3300102</v>
      </c>
      <c r="AN138" s="154">
        <v>272202</v>
      </c>
    </row>
    <row r="139" spans="1:40" x14ac:dyDescent="0.2">
      <c r="A139" s="1">
        <v>2019</v>
      </c>
      <c r="B139" s="2" t="s">
        <v>159</v>
      </c>
      <c r="C139" s="2" t="s">
        <v>159</v>
      </c>
      <c r="D139" s="1" t="s">
        <v>510</v>
      </c>
      <c r="E139" s="3">
        <v>2941378</v>
      </c>
      <c r="F139" s="1">
        <v>514</v>
      </c>
      <c r="G139" s="3">
        <v>13141</v>
      </c>
      <c r="H139" s="1">
        <v>0</v>
      </c>
      <c r="I139" s="3">
        <v>2940864</v>
      </c>
      <c r="J139" s="3">
        <v>2927723</v>
      </c>
      <c r="K139" s="3">
        <v>2927723</v>
      </c>
      <c r="L139" s="3">
        <v>103894</v>
      </c>
      <c r="M139" s="3">
        <v>321498</v>
      </c>
      <c r="N139" s="3">
        <v>38860</v>
      </c>
      <c r="O139" s="3">
        <v>36094</v>
      </c>
      <c r="P139" s="3">
        <v>173919</v>
      </c>
      <c r="Q139" s="3">
        <v>2266599</v>
      </c>
      <c r="R139" s="3">
        <v>2253458</v>
      </c>
      <c r="S139" s="3">
        <v>2253458</v>
      </c>
      <c r="T139" s="3">
        <v>294086</v>
      </c>
      <c r="U139" s="3">
        <v>294086</v>
      </c>
      <c r="V139" s="3">
        <v>294086</v>
      </c>
      <c r="W139" s="3">
        <v>294086</v>
      </c>
      <c r="X139" s="3">
        <v>291897</v>
      </c>
      <c r="Y139" s="3">
        <v>291897</v>
      </c>
      <c r="Z139" s="4">
        <v>291896</v>
      </c>
      <c r="AA139" s="4">
        <v>291896</v>
      </c>
      <c r="AB139" s="4">
        <v>291896</v>
      </c>
      <c r="AC139" s="4">
        <v>291897</v>
      </c>
      <c r="AD139" s="4">
        <v>294086</v>
      </c>
      <c r="AE139" s="4">
        <v>588172</v>
      </c>
      <c r="AF139" s="4">
        <v>882258</v>
      </c>
      <c r="AG139" s="4">
        <v>1176344</v>
      </c>
      <c r="AH139" s="4">
        <v>1468241</v>
      </c>
      <c r="AI139" s="4">
        <v>1760138</v>
      </c>
      <c r="AJ139" s="4">
        <v>2052034</v>
      </c>
      <c r="AK139" s="4">
        <v>2343930</v>
      </c>
      <c r="AL139" s="4">
        <v>2635826</v>
      </c>
      <c r="AM139" s="4">
        <v>2927723</v>
      </c>
      <c r="AN139" s="154">
        <v>233161</v>
      </c>
    </row>
    <row r="140" spans="1:40" x14ac:dyDescent="0.2">
      <c r="A140" s="1">
        <v>2019</v>
      </c>
      <c r="B140" s="2" t="s">
        <v>160</v>
      </c>
      <c r="C140" s="2" t="s">
        <v>160</v>
      </c>
      <c r="D140" s="1" t="s">
        <v>511</v>
      </c>
      <c r="E140" s="3">
        <v>6239092</v>
      </c>
      <c r="F140" s="1">
        <v>929</v>
      </c>
      <c r="G140" s="3">
        <v>28985</v>
      </c>
      <c r="H140" s="1">
        <v>0</v>
      </c>
      <c r="I140" s="3">
        <v>6238163</v>
      </c>
      <c r="J140" s="3">
        <v>6209178</v>
      </c>
      <c r="K140" s="3">
        <v>6209178</v>
      </c>
      <c r="L140" s="3">
        <v>187679</v>
      </c>
      <c r="M140" s="3">
        <v>712579</v>
      </c>
      <c r="N140" s="3">
        <v>75265</v>
      </c>
      <c r="O140" s="3">
        <v>76663</v>
      </c>
      <c r="P140" s="3">
        <v>386146</v>
      </c>
      <c r="Q140" s="3">
        <v>4799831</v>
      </c>
      <c r="R140" s="3">
        <v>4770846</v>
      </c>
      <c r="S140" s="3">
        <v>4770846</v>
      </c>
      <c r="T140" s="3">
        <v>623816</v>
      </c>
      <c r="U140" s="3">
        <v>623816</v>
      </c>
      <c r="V140" s="3">
        <v>623816</v>
      </c>
      <c r="W140" s="3">
        <v>623816</v>
      </c>
      <c r="X140" s="3">
        <v>618986</v>
      </c>
      <c r="Y140" s="3">
        <v>618986</v>
      </c>
      <c r="Z140" s="4">
        <v>618986</v>
      </c>
      <c r="AA140" s="4">
        <v>618986</v>
      </c>
      <c r="AB140" s="4">
        <v>618986</v>
      </c>
      <c r="AC140" s="4">
        <v>618984</v>
      </c>
      <c r="AD140" s="4">
        <v>623816</v>
      </c>
      <c r="AE140" s="4">
        <v>1247632</v>
      </c>
      <c r="AF140" s="4">
        <v>1871448</v>
      </c>
      <c r="AG140" s="4">
        <v>2495264</v>
      </c>
      <c r="AH140" s="4">
        <v>3114250</v>
      </c>
      <c r="AI140" s="4">
        <v>3733236</v>
      </c>
      <c r="AJ140" s="4">
        <v>4352222</v>
      </c>
      <c r="AK140" s="4">
        <v>4971208</v>
      </c>
      <c r="AL140" s="4">
        <v>5590194</v>
      </c>
      <c r="AM140" s="4">
        <v>6209178</v>
      </c>
      <c r="AN140" s="154">
        <v>560351</v>
      </c>
    </row>
    <row r="141" spans="1:40" x14ac:dyDescent="0.2">
      <c r="A141" s="1">
        <v>2019</v>
      </c>
      <c r="B141" s="2" t="s">
        <v>161</v>
      </c>
      <c r="C141" s="2" t="s">
        <v>161</v>
      </c>
      <c r="D141" s="1" t="s">
        <v>512</v>
      </c>
      <c r="E141" s="3">
        <v>1932161</v>
      </c>
      <c r="F141" s="3">
        <v>348</v>
      </c>
      <c r="G141" s="3">
        <v>11101</v>
      </c>
      <c r="H141" s="1">
        <v>0</v>
      </c>
      <c r="I141" s="3">
        <v>1931813</v>
      </c>
      <c r="J141" s="3">
        <v>1920712</v>
      </c>
      <c r="K141" s="3">
        <v>1920712</v>
      </c>
      <c r="L141" s="3">
        <v>70380</v>
      </c>
      <c r="M141" s="3">
        <v>261623</v>
      </c>
      <c r="N141" s="3">
        <v>25908</v>
      </c>
      <c r="O141" s="3">
        <v>22300</v>
      </c>
      <c r="P141" s="3">
        <v>148575</v>
      </c>
      <c r="Q141" s="3">
        <v>1403027</v>
      </c>
      <c r="R141" s="3">
        <v>1391926</v>
      </c>
      <c r="S141" s="3">
        <v>1391926</v>
      </c>
      <c r="T141" s="3">
        <v>193181</v>
      </c>
      <c r="U141" s="3">
        <v>193181</v>
      </c>
      <c r="V141" s="3">
        <v>193181</v>
      </c>
      <c r="W141" s="3">
        <v>193181</v>
      </c>
      <c r="X141" s="3">
        <v>191331</v>
      </c>
      <c r="Y141" s="3">
        <v>191331</v>
      </c>
      <c r="Z141" s="4">
        <v>191332</v>
      </c>
      <c r="AA141" s="4">
        <v>191332</v>
      </c>
      <c r="AB141" s="4">
        <v>191332</v>
      </c>
      <c r="AC141" s="4">
        <v>191330</v>
      </c>
      <c r="AD141" s="4">
        <v>193181</v>
      </c>
      <c r="AE141" s="4">
        <v>386362</v>
      </c>
      <c r="AF141" s="4">
        <v>579543</v>
      </c>
      <c r="AG141" s="4">
        <v>772724</v>
      </c>
      <c r="AH141" s="4">
        <v>964055</v>
      </c>
      <c r="AI141" s="4">
        <v>1155386</v>
      </c>
      <c r="AJ141" s="4">
        <v>1346718</v>
      </c>
      <c r="AK141" s="4">
        <v>1538050</v>
      </c>
      <c r="AL141" s="4">
        <v>1729382</v>
      </c>
      <c r="AM141" s="4">
        <v>1920712</v>
      </c>
      <c r="AN141" s="154">
        <v>203113</v>
      </c>
    </row>
    <row r="142" spans="1:40" x14ac:dyDescent="0.2">
      <c r="A142" s="1">
        <v>2019</v>
      </c>
      <c r="B142" s="2" t="s">
        <v>162</v>
      </c>
      <c r="C142" s="2" t="s">
        <v>162</v>
      </c>
      <c r="D142" s="1" t="s">
        <v>513</v>
      </c>
      <c r="E142" s="3">
        <v>4402248</v>
      </c>
      <c r="F142" s="3">
        <v>464</v>
      </c>
      <c r="G142" s="3">
        <v>16911</v>
      </c>
      <c r="H142" s="1">
        <v>0</v>
      </c>
      <c r="I142" s="3">
        <v>4401784</v>
      </c>
      <c r="J142" s="3">
        <v>4384873</v>
      </c>
      <c r="K142" s="3">
        <v>4384873</v>
      </c>
      <c r="L142" s="3">
        <v>93840</v>
      </c>
      <c r="M142" s="3">
        <v>424296</v>
      </c>
      <c r="N142" s="3">
        <v>37404</v>
      </c>
      <c r="O142" s="3">
        <v>48026</v>
      </c>
      <c r="P142" s="3">
        <v>221041</v>
      </c>
      <c r="Q142" s="3">
        <v>3577177</v>
      </c>
      <c r="R142" s="3">
        <v>3560266</v>
      </c>
      <c r="S142" s="3">
        <v>3560266</v>
      </c>
      <c r="T142" s="3">
        <v>440178</v>
      </c>
      <c r="U142" s="3">
        <v>440178</v>
      </c>
      <c r="V142" s="3">
        <v>440178</v>
      </c>
      <c r="W142" s="3">
        <v>440178</v>
      </c>
      <c r="X142" s="3">
        <v>437360</v>
      </c>
      <c r="Y142" s="3">
        <v>437360</v>
      </c>
      <c r="Z142" s="4">
        <v>437360</v>
      </c>
      <c r="AA142" s="4">
        <v>437360</v>
      </c>
      <c r="AB142" s="4">
        <v>437360</v>
      </c>
      <c r="AC142" s="4">
        <v>437361</v>
      </c>
      <c r="AD142" s="4">
        <v>440178</v>
      </c>
      <c r="AE142" s="4">
        <v>880356</v>
      </c>
      <c r="AF142" s="4">
        <v>1320534</v>
      </c>
      <c r="AG142" s="4">
        <v>1760712</v>
      </c>
      <c r="AH142" s="4">
        <v>2198072</v>
      </c>
      <c r="AI142" s="4">
        <v>2635432</v>
      </c>
      <c r="AJ142" s="4">
        <v>3072792</v>
      </c>
      <c r="AK142" s="4">
        <v>3510152</v>
      </c>
      <c r="AL142" s="4">
        <v>3947512</v>
      </c>
      <c r="AM142" s="4">
        <v>4384873</v>
      </c>
      <c r="AN142" s="154">
        <v>308793</v>
      </c>
    </row>
    <row r="143" spans="1:40" x14ac:dyDescent="0.2">
      <c r="A143" s="1">
        <v>2019</v>
      </c>
      <c r="B143" s="2" t="s">
        <v>163</v>
      </c>
      <c r="C143" s="2" t="s">
        <v>163</v>
      </c>
      <c r="D143" s="1" t="s">
        <v>514</v>
      </c>
      <c r="E143" s="3">
        <v>7071231</v>
      </c>
      <c r="F143" s="3">
        <v>1095</v>
      </c>
      <c r="G143" s="3">
        <v>30052</v>
      </c>
      <c r="H143" s="1">
        <v>0</v>
      </c>
      <c r="I143" s="3">
        <v>7070136</v>
      </c>
      <c r="J143" s="3">
        <v>7040084</v>
      </c>
      <c r="K143" s="3">
        <v>7040084</v>
      </c>
      <c r="L143" s="3">
        <v>221193</v>
      </c>
      <c r="M143" s="3">
        <v>715989</v>
      </c>
      <c r="N143" s="3">
        <v>87044</v>
      </c>
      <c r="O143" s="3">
        <v>78370</v>
      </c>
      <c r="P143" s="3">
        <v>392812</v>
      </c>
      <c r="Q143" s="3">
        <v>5574728</v>
      </c>
      <c r="R143" s="3">
        <v>5544676</v>
      </c>
      <c r="S143" s="3">
        <v>5544676</v>
      </c>
      <c r="T143" s="3">
        <v>707014</v>
      </c>
      <c r="U143" s="3">
        <v>707014</v>
      </c>
      <c r="V143" s="3">
        <v>707014</v>
      </c>
      <c r="W143" s="3">
        <v>707014</v>
      </c>
      <c r="X143" s="3">
        <v>702005</v>
      </c>
      <c r="Y143" s="3">
        <v>702005</v>
      </c>
      <c r="Z143" s="4">
        <v>702005</v>
      </c>
      <c r="AA143" s="4">
        <v>702005</v>
      </c>
      <c r="AB143" s="4">
        <v>702005</v>
      </c>
      <c r="AC143" s="4">
        <v>702003</v>
      </c>
      <c r="AD143" s="4">
        <v>707014</v>
      </c>
      <c r="AE143" s="4">
        <v>1414028</v>
      </c>
      <c r="AF143" s="4">
        <v>2121042</v>
      </c>
      <c r="AG143" s="4">
        <v>2828056</v>
      </c>
      <c r="AH143" s="4">
        <v>3530061</v>
      </c>
      <c r="AI143" s="4">
        <v>4232066</v>
      </c>
      <c r="AJ143" s="4">
        <v>4934071</v>
      </c>
      <c r="AK143" s="4">
        <v>5636076</v>
      </c>
      <c r="AL143" s="4">
        <v>6338081</v>
      </c>
      <c r="AM143" s="4">
        <v>7040084</v>
      </c>
      <c r="AN143" s="154">
        <v>553463</v>
      </c>
    </row>
    <row r="144" spans="1:40" x14ac:dyDescent="0.2">
      <c r="A144" s="1">
        <v>2019</v>
      </c>
      <c r="B144" s="2" t="s">
        <v>164</v>
      </c>
      <c r="C144" s="2" t="s">
        <v>164</v>
      </c>
      <c r="D144" s="1" t="s">
        <v>515</v>
      </c>
      <c r="E144" s="3">
        <v>9088025</v>
      </c>
      <c r="F144" s="3">
        <v>1609</v>
      </c>
      <c r="G144" s="3">
        <v>35732</v>
      </c>
      <c r="H144" s="1">
        <v>0</v>
      </c>
      <c r="I144" s="3">
        <v>9086416</v>
      </c>
      <c r="J144" s="3">
        <v>9050684</v>
      </c>
      <c r="K144" s="3">
        <v>9050684</v>
      </c>
      <c r="L144" s="3">
        <v>325087</v>
      </c>
      <c r="M144" s="3">
        <v>867999</v>
      </c>
      <c r="N144" s="3">
        <v>96687</v>
      </c>
      <c r="O144" s="3">
        <v>102166</v>
      </c>
      <c r="P144" s="3">
        <v>467058</v>
      </c>
      <c r="Q144" s="3">
        <v>7227419</v>
      </c>
      <c r="R144" s="3">
        <v>7191687</v>
      </c>
      <c r="S144" s="3">
        <v>7191687</v>
      </c>
      <c r="T144" s="3">
        <v>908642</v>
      </c>
      <c r="U144" s="3">
        <v>908642</v>
      </c>
      <c r="V144" s="3">
        <v>908642</v>
      </c>
      <c r="W144" s="3">
        <v>908642</v>
      </c>
      <c r="X144" s="3">
        <v>902686</v>
      </c>
      <c r="Y144" s="3">
        <v>902686</v>
      </c>
      <c r="Z144" s="4">
        <v>902686</v>
      </c>
      <c r="AA144" s="4">
        <v>902686</v>
      </c>
      <c r="AB144" s="4">
        <v>902686</v>
      </c>
      <c r="AC144" s="4">
        <v>902686</v>
      </c>
      <c r="AD144" s="4">
        <v>908642</v>
      </c>
      <c r="AE144" s="4">
        <v>1817284</v>
      </c>
      <c r="AF144" s="4">
        <v>2725926</v>
      </c>
      <c r="AG144" s="4">
        <v>3634568</v>
      </c>
      <c r="AH144" s="4">
        <v>4537254</v>
      </c>
      <c r="AI144" s="4">
        <v>5439940</v>
      </c>
      <c r="AJ144" s="4">
        <v>6342626</v>
      </c>
      <c r="AK144" s="4">
        <v>7245312</v>
      </c>
      <c r="AL144" s="4">
        <v>8147998</v>
      </c>
      <c r="AM144" s="4">
        <v>9050684</v>
      </c>
      <c r="AN144" s="154">
        <v>665028</v>
      </c>
    </row>
    <row r="145" spans="1:40" x14ac:dyDescent="0.2">
      <c r="A145" s="1">
        <v>2019</v>
      </c>
      <c r="B145" s="2" t="s">
        <v>165</v>
      </c>
      <c r="C145" s="2" t="s">
        <v>165</v>
      </c>
      <c r="D145" s="1" t="s">
        <v>516</v>
      </c>
      <c r="E145" s="3">
        <v>21689763</v>
      </c>
      <c r="F145" s="3">
        <v>2090</v>
      </c>
      <c r="G145" s="3">
        <v>85455</v>
      </c>
      <c r="H145" s="1">
        <v>0</v>
      </c>
      <c r="I145" s="3">
        <v>21687673</v>
      </c>
      <c r="J145" s="3">
        <v>21602218</v>
      </c>
      <c r="K145" s="3">
        <v>21602218</v>
      </c>
      <c r="L145" s="3">
        <v>422278</v>
      </c>
      <c r="M145" s="3">
        <v>1841681</v>
      </c>
      <c r="N145" s="3">
        <v>209200</v>
      </c>
      <c r="O145" s="3">
        <v>218300</v>
      </c>
      <c r="P145" s="3">
        <v>1116989</v>
      </c>
      <c r="Q145" s="3">
        <v>17879225</v>
      </c>
      <c r="R145" s="3">
        <v>17793770</v>
      </c>
      <c r="S145" s="3">
        <v>17793770</v>
      </c>
      <c r="T145" s="3">
        <v>2168767</v>
      </c>
      <c r="U145" s="3">
        <v>2168767</v>
      </c>
      <c r="V145" s="3">
        <v>2168767</v>
      </c>
      <c r="W145" s="3">
        <v>2168767</v>
      </c>
      <c r="X145" s="3">
        <v>2154525</v>
      </c>
      <c r="Y145" s="3">
        <v>2154525</v>
      </c>
      <c r="Z145" s="4">
        <v>2154525</v>
      </c>
      <c r="AA145" s="4">
        <v>2154525</v>
      </c>
      <c r="AB145" s="4">
        <v>2154525</v>
      </c>
      <c r="AC145" s="4">
        <v>2154525</v>
      </c>
      <c r="AD145" s="4">
        <v>2168767</v>
      </c>
      <c r="AE145" s="4">
        <v>4337534</v>
      </c>
      <c r="AF145" s="4">
        <v>6506301</v>
      </c>
      <c r="AG145" s="4">
        <v>8675068</v>
      </c>
      <c r="AH145" s="4">
        <v>10829593</v>
      </c>
      <c r="AI145" s="4">
        <v>12984118</v>
      </c>
      <c r="AJ145" s="4">
        <v>15138643</v>
      </c>
      <c r="AK145" s="4">
        <v>17293168</v>
      </c>
      <c r="AL145" s="4">
        <v>19447693</v>
      </c>
      <c r="AM145" s="4">
        <v>21602218</v>
      </c>
      <c r="AN145" s="154">
        <v>1444227</v>
      </c>
    </row>
    <row r="146" spans="1:40" x14ac:dyDescent="0.2">
      <c r="A146" s="1">
        <v>2019</v>
      </c>
      <c r="B146" s="2" t="s">
        <v>166</v>
      </c>
      <c r="C146" s="2" t="s">
        <v>166</v>
      </c>
      <c r="D146" s="1" t="s">
        <v>517</v>
      </c>
      <c r="E146" s="3">
        <v>5452134</v>
      </c>
      <c r="F146" s="3">
        <v>680</v>
      </c>
      <c r="G146" s="3">
        <v>21414</v>
      </c>
      <c r="H146" s="1">
        <v>0</v>
      </c>
      <c r="I146" s="3">
        <v>5451454</v>
      </c>
      <c r="J146" s="3">
        <v>5430040</v>
      </c>
      <c r="K146" s="3">
        <v>5430040</v>
      </c>
      <c r="L146" s="3">
        <v>137408</v>
      </c>
      <c r="M146" s="3">
        <v>519181</v>
      </c>
      <c r="N146" s="3">
        <v>54797</v>
      </c>
      <c r="O146" s="3">
        <v>47991</v>
      </c>
      <c r="P146" s="3">
        <v>287193</v>
      </c>
      <c r="Q146" s="3">
        <v>4404884</v>
      </c>
      <c r="R146" s="3">
        <v>4383470</v>
      </c>
      <c r="S146" s="3">
        <v>4383470</v>
      </c>
      <c r="T146" s="3">
        <v>545145</v>
      </c>
      <c r="U146" s="3">
        <v>545145</v>
      </c>
      <c r="V146" s="3">
        <v>545145</v>
      </c>
      <c r="W146" s="3">
        <v>545145</v>
      </c>
      <c r="X146" s="3">
        <v>541577</v>
      </c>
      <c r="Y146" s="3">
        <v>541577</v>
      </c>
      <c r="Z146" s="4">
        <v>541577</v>
      </c>
      <c r="AA146" s="4">
        <v>541577</v>
      </c>
      <c r="AB146" s="4">
        <v>541577</v>
      </c>
      <c r="AC146" s="4">
        <v>541575</v>
      </c>
      <c r="AD146" s="4">
        <v>545145</v>
      </c>
      <c r="AE146" s="4">
        <v>1090290</v>
      </c>
      <c r="AF146" s="4">
        <v>1635435</v>
      </c>
      <c r="AG146" s="4">
        <v>2180580</v>
      </c>
      <c r="AH146" s="4">
        <v>2722157</v>
      </c>
      <c r="AI146" s="4">
        <v>3263734</v>
      </c>
      <c r="AJ146" s="4">
        <v>3805311</v>
      </c>
      <c r="AK146" s="4">
        <v>4346888</v>
      </c>
      <c r="AL146" s="4">
        <v>4888465</v>
      </c>
      <c r="AM146" s="4">
        <v>5430040</v>
      </c>
      <c r="AN146" s="154">
        <v>367724</v>
      </c>
    </row>
    <row r="147" spans="1:40" x14ac:dyDescent="0.2">
      <c r="A147" s="1">
        <v>2019</v>
      </c>
      <c r="B147" s="2" t="s">
        <v>167</v>
      </c>
      <c r="C147" s="2" t="s">
        <v>167</v>
      </c>
      <c r="D147" s="1" t="s">
        <v>518</v>
      </c>
      <c r="E147" s="3">
        <v>75023878</v>
      </c>
      <c r="F147" s="3">
        <v>8243</v>
      </c>
      <c r="G147" s="3">
        <v>354637</v>
      </c>
      <c r="H147" s="1">
        <v>0</v>
      </c>
      <c r="I147" s="3">
        <v>75015635</v>
      </c>
      <c r="J147" s="3">
        <v>74660998</v>
      </c>
      <c r="K147" s="3">
        <v>74660998</v>
      </c>
      <c r="L147" s="3">
        <v>1665653</v>
      </c>
      <c r="M147" s="3">
        <v>7919507</v>
      </c>
      <c r="N147" s="3">
        <v>1003763</v>
      </c>
      <c r="O147" s="3">
        <v>978776</v>
      </c>
      <c r="P147" s="3">
        <v>4635484</v>
      </c>
      <c r="Q147" s="3">
        <v>58812452</v>
      </c>
      <c r="R147" s="3">
        <v>58457815</v>
      </c>
      <c r="S147" s="3">
        <v>58457815</v>
      </c>
      <c r="T147" s="3">
        <v>7501564</v>
      </c>
      <c r="U147" s="3">
        <v>7501564</v>
      </c>
      <c r="V147" s="3">
        <v>7501564</v>
      </c>
      <c r="W147" s="3">
        <v>7501564</v>
      </c>
      <c r="X147" s="3">
        <v>7442457</v>
      </c>
      <c r="Y147" s="3">
        <v>7442457</v>
      </c>
      <c r="Z147" s="4">
        <v>7442457</v>
      </c>
      <c r="AA147" s="4">
        <v>7442457</v>
      </c>
      <c r="AB147" s="4">
        <v>7442457</v>
      </c>
      <c r="AC147" s="4">
        <v>7442457</v>
      </c>
      <c r="AD147" s="4">
        <v>7501564</v>
      </c>
      <c r="AE147" s="4">
        <v>15003128</v>
      </c>
      <c r="AF147" s="4">
        <v>22504692</v>
      </c>
      <c r="AG147" s="4">
        <v>30006256</v>
      </c>
      <c r="AH147" s="4">
        <v>37448713</v>
      </c>
      <c r="AI147" s="4">
        <v>44891170</v>
      </c>
      <c r="AJ147" s="4">
        <v>52333627</v>
      </c>
      <c r="AK147" s="4">
        <v>59776084</v>
      </c>
      <c r="AL147" s="4">
        <v>67218541</v>
      </c>
      <c r="AM147" s="4">
        <v>74660998</v>
      </c>
      <c r="AN147" s="154">
        <v>6338197</v>
      </c>
    </row>
    <row r="148" spans="1:40" x14ac:dyDescent="0.2">
      <c r="A148" s="1">
        <v>2019</v>
      </c>
      <c r="B148" s="2" t="s">
        <v>168</v>
      </c>
      <c r="C148" s="2" t="s">
        <v>168</v>
      </c>
      <c r="D148" s="1" t="s">
        <v>519</v>
      </c>
      <c r="E148" s="3">
        <v>6892197</v>
      </c>
      <c r="F148" s="1">
        <v>779</v>
      </c>
      <c r="G148" s="3">
        <v>27407</v>
      </c>
      <c r="H148" s="1">
        <v>0</v>
      </c>
      <c r="I148" s="3">
        <v>6891418</v>
      </c>
      <c r="J148" s="3">
        <v>6864011</v>
      </c>
      <c r="K148" s="3">
        <v>6864011</v>
      </c>
      <c r="L148" s="3">
        <v>157517</v>
      </c>
      <c r="M148" s="3">
        <v>647030</v>
      </c>
      <c r="N148" s="3">
        <v>81160</v>
      </c>
      <c r="O148" s="3">
        <v>75235</v>
      </c>
      <c r="P148" s="3">
        <v>358236</v>
      </c>
      <c r="Q148" s="3">
        <v>5572240</v>
      </c>
      <c r="R148" s="3">
        <v>5544833</v>
      </c>
      <c r="S148" s="3">
        <v>5544833</v>
      </c>
      <c r="T148" s="3">
        <v>689142</v>
      </c>
      <c r="U148" s="3">
        <v>689142</v>
      </c>
      <c r="V148" s="3">
        <v>689142</v>
      </c>
      <c r="W148" s="3">
        <v>689142</v>
      </c>
      <c r="X148" s="3">
        <v>684574</v>
      </c>
      <c r="Y148" s="3">
        <v>684574</v>
      </c>
      <c r="Z148" s="4">
        <v>684574</v>
      </c>
      <c r="AA148" s="4">
        <v>684574</v>
      </c>
      <c r="AB148" s="4">
        <v>684574</v>
      </c>
      <c r="AC148" s="4">
        <v>684573</v>
      </c>
      <c r="AD148" s="4">
        <v>689142</v>
      </c>
      <c r="AE148" s="4">
        <v>1378284</v>
      </c>
      <c r="AF148" s="4">
        <v>2067426</v>
      </c>
      <c r="AG148" s="4">
        <v>2756568</v>
      </c>
      <c r="AH148" s="4">
        <v>3441142</v>
      </c>
      <c r="AI148" s="4">
        <v>4125716</v>
      </c>
      <c r="AJ148" s="4">
        <v>4810290</v>
      </c>
      <c r="AK148" s="4">
        <v>5494864</v>
      </c>
      <c r="AL148" s="4">
        <v>6179438</v>
      </c>
      <c r="AM148" s="4">
        <v>6864011</v>
      </c>
      <c r="AN148" s="154">
        <v>498986</v>
      </c>
    </row>
    <row r="149" spans="1:40" x14ac:dyDescent="0.2">
      <c r="A149" s="1">
        <v>2019</v>
      </c>
      <c r="B149" s="2" t="s">
        <v>169</v>
      </c>
      <c r="C149" s="2" t="s">
        <v>169</v>
      </c>
      <c r="D149" s="1" t="s">
        <v>520</v>
      </c>
      <c r="E149" s="3">
        <v>3405595</v>
      </c>
      <c r="F149" s="3">
        <v>431</v>
      </c>
      <c r="G149" s="3">
        <v>13606</v>
      </c>
      <c r="H149" s="1">
        <v>0</v>
      </c>
      <c r="I149" s="3">
        <v>3405164</v>
      </c>
      <c r="J149" s="3">
        <v>3391558</v>
      </c>
      <c r="K149" s="3">
        <v>3391558</v>
      </c>
      <c r="L149" s="3">
        <v>87137</v>
      </c>
      <c r="M149" s="3">
        <v>301148</v>
      </c>
      <c r="N149" s="3">
        <v>29746</v>
      </c>
      <c r="O149" s="3">
        <v>35111</v>
      </c>
      <c r="P149" s="3">
        <v>177845</v>
      </c>
      <c r="Q149" s="3">
        <v>2774177</v>
      </c>
      <c r="R149" s="3">
        <v>2760571</v>
      </c>
      <c r="S149" s="3">
        <v>2760571</v>
      </c>
      <c r="T149" s="3">
        <v>340516</v>
      </c>
      <c r="U149" s="3">
        <v>340516</v>
      </c>
      <c r="V149" s="3">
        <v>340516</v>
      </c>
      <c r="W149" s="3">
        <v>340516</v>
      </c>
      <c r="X149" s="3">
        <v>338249</v>
      </c>
      <c r="Y149" s="3">
        <v>338249</v>
      </c>
      <c r="Z149" s="4">
        <v>338249</v>
      </c>
      <c r="AA149" s="4">
        <v>338249</v>
      </c>
      <c r="AB149" s="4">
        <v>338249</v>
      </c>
      <c r="AC149" s="4">
        <v>338249</v>
      </c>
      <c r="AD149" s="4">
        <v>340516</v>
      </c>
      <c r="AE149" s="4">
        <v>681032</v>
      </c>
      <c r="AF149" s="4">
        <v>1021548</v>
      </c>
      <c r="AG149" s="4">
        <v>1362064</v>
      </c>
      <c r="AH149" s="4">
        <v>1700313</v>
      </c>
      <c r="AI149" s="4">
        <v>2038562</v>
      </c>
      <c r="AJ149" s="4">
        <v>2376811</v>
      </c>
      <c r="AK149" s="4">
        <v>2715060</v>
      </c>
      <c r="AL149" s="4">
        <v>3053309</v>
      </c>
      <c r="AM149" s="4">
        <v>3391558</v>
      </c>
      <c r="AN149" s="154">
        <v>238206</v>
      </c>
    </row>
    <row r="150" spans="1:40" x14ac:dyDescent="0.2">
      <c r="A150" s="1">
        <v>2019</v>
      </c>
      <c r="B150" s="2" t="s">
        <v>170</v>
      </c>
      <c r="C150" s="2" t="s">
        <v>170</v>
      </c>
      <c r="D150" s="1" t="s">
        <v>521</v>
      </c>
      <c r="E150" s="3">
        <v>3562028</v>
      </c>
      <c r="F150" s="1">
        <v>713</v>
      </c>
      <c r="G150" s="3">
        <v>16973</v>
      </c>
      <c r="H150" s="1">
        <v>0</v>
      </c>
      <c r="I150" s="3">
        <v>3561315</v>
      </c>
      <c r="J150" s="3">
        <v>3544342</v>
      </c>
      <c r="K150" s="3">
        <v>3544342</v>
      </c>
      <c r="L150" s="3">
        <v>144111</v>
      </c>
      <c r="M150" s="3">
        <v>429077</v>
      </c>
      <c r="N150" s="3">
        <v>44269</v>
      </c>
      <c r="O150" s="3">
        <v>49135</v>
      </c>
      <c r="P150" s="3">
        <v>221857</v>
      </c>
      <c r="Q150" s="3">
        <v>2672866</v>
      </c>
      <c r="R150" s="3">
        <v>2655893</v>
      </c>
      <c r="S150" s="3">
        <v>2655893</v>
      </c>
      <c r="T150" s="3">
        <v>356132</v>
      </c>
      <c r="U150" s="3">
        <v>356132</v>
      </c>
      <c r="V150" s="3">
        <v>356132</v>
      </c>
      <c r="W150" s="3">
        <v>356132</v>
      </c>
      <c r="X150" s="3">
        <v>353302</v>
      </c>
      <c r="Y150" s="3">
        <v>353302</v>
      </c>
      <c r="Z150" s="4">
        <v>353303</v>
      </c>
      <c r="AA150" s="4">
        <v>353303</v>
      </c>
      <c r="AB150" s="4">
        <v>353303</v>
      </c>
      <c r="AC150" s="4">
        <v>353301</v>
      </c>
      <c r="AD150" s="4">
        <v>356132</v>
      </c>
      <c r="AE150" s="4">
        <v>712264</v>
      </c>
      <c r="AF150" s="4">
        <v>1068396</v>
      </c>
      <c r="AG150" s="4">
        <v>1424528</v>
      </c>
      <c r="AH150" s="4">
        <v>1777830</v>
      </c>
      <c r="AI150" s="4">
        <v>2131132</v>
      </c>
      <c r="AJ150" s="4">
        <v>2484435</v>
      </c>
      <c r="AK150" s="4">
        <v>2837738</v>
      </c>
      <c r="AL150" s="4">
        <v>3191041</v>
      </c>
      <c r="AM150" s="4">
        <v>3544342</v>
      </c>
      <c r="AN150" s="154">
        <v>293423</v>
      </c>
    </row>
    <row r="151" spans="1:40" x14ac:dyDescent="0.2">
      <c r="A151" s="1">
        <v>2019</v>
      </c>
      <c r="B151" s="2" t="s">
        <v>171</v>
      </c>
      <c r="C151" s="2" t="s">
        <v>171</v>
      </c>
      <c r="D151" s="1" t="s">
        <v>522</v>
      </c>
      <c r="E151" s="3">
        <v>2372677</v>
      </c>
      <c r="F151" s="3">
        <v>531</v>
      </c>
      <c r="G151" s="3">
        <v>10066</v>
      </c>
      <c r="H151" s="1">
        <v>0</v>
      </c>
      <c r="I151" s="3">
        <v>2372146</v>
      </c>
      <c r="J151" s="3">
        <v>2362080</v>
      </c>
      <c r="K151" s="3">
        <v>2362080</v>
      </c>
      <c r="L151" s="3">
        <v>107245</v>
      </c>
      <c r="M151" s="3">
        <v>229601</v>
      </c>
      <c r="N151" s="3">
        <v>19493</v>
      </c>
      <c r="O151" s="3">
        <v>22024</v>
      </c>
      <c r="P151" s="3">
        <v>131580</v>
      </c>
      <c r="Q151" s="3">
        <v>1862203</v>
      </c>
      <c r="R151" s="3">
        <v>1852137</v>
      </c>
      <c r="S151" s="3">
        <v>1852137</v>
      </c>
      <c r="T151" s="3">
        <v>237215</v>
      </c>
      <c r="U151" s="3">
        <v>237215</v>
      </c>
      <c r="V151" s="3">
        <v>237215</v>
      </c>
      <c r="W151" s="3">
        <v>237215</v>
      </c>
      <c r="X151" s="3">
        <v>235537</v>
      </c>
      <c r="Y151" s="3">
        <v>235537</v>
      </c>
      <c r="Z151" s="4">
        <v>235537</v>
      </c>
      <c r="AA151" s="4">
        <v>235537</v>
      </c>
      <c r="AB151" s="4">
        <v>235537</v>
      </c>
      <c r="AC151" s="4">
        <v>235535</v>
      </c>
      <c r="AD151" s="4">
        <v>237215</v>
      </c>
      <c r="AE151" s="4">
        <v>474430</v>
      </c>
      <c r="AF151" s="4">
        <v>711645</v>
      </c>
      <c r="AG151" s="4">
        <v>948860</v>
      </c>
      <c r="AH151" s="4">
        <v>1184397</v>
      </c>
      <c r="AI151" s="4">
        <v>1419934</v>
      </c>
      <c r="AJ151" s="4">
        <v>1655471</v>
      </c>
      <c r="AK151" s="4">
        <v>1891008</v>
      </c>
      <c r="AL151" s="4">
        <v>2126545</v>
      </c>
      <c r="AM151" s="4">
        <v>2362080</v>
      </c>
      <c r="AN151" s="154">
        <v>187472</v>
      </c>
    </row>
    <row r="152" spans="1:40" x14ac:dyDescent="0.2">
      <c r="A152" s="1">
        <v>2019</v>
      </c>
      <c r="B152" s="2" t="s">
        <v>172</v>
      </c>
      <c r="C152" s="2" t="s">
        <v>172</v>
      </c>
      <c r="D152" s="1" t="s">
        <v>523</v>
      </c>
      <c r="E152" s="3">
        <v>7237841</v>
      </c>
      <c r="F152" s="3">
        <v>1360</v>
      </c>
      <c r="G152" s="3">
        <v>30946</v>
      </c>
      <c r="H152" s="1">
        <v>0</v>
      </c>
      <c r="I152" s="3">
        <v>7236481</v>
      </c>
      <c r="J152" s="3">
        <v>7205535</v>
      </c>
      <c r="K152" s="3">
        <v>7205535</v>
      </c>
      <c r="L152" s="3">
        <v>274816</v>
      </c>
      <c r="M152" s="3">
        <v>730654</v>
      </c>
      <c r="N152" s="3">
        <v>90018</v>
      </c>
      <c r="O152" s="3">
        <v>83118</v>
      </c>
      <c r="P152" s="3">
        <v>404501</v>
      </c>
      <c r="Q152" s="3">
        <v>5653374</v>
      </c>
      <c r="R152" s="3">
        <v>5622428</v>
      </c>
      <c r="S152" s="3">
        <v>5622428</v>
      </c>
      <c r="T152" s="3">
        <v>723648</v>
      </c>
      <c r="U152" s="3">
        <v>723648</v>
      </c>
      <c r="V152" s="3">
        <v>723648</v>
      </c>
      <c r="W152" s="3">
        <v>723648</v>
      </c>
      <c r="X152" s="3">
        <v>718491</v>
      </c>
      <c r="Y152" s="3">
        <v>718491</v>
      </c>
      <c r="Z152" s="4">
        <v>718490</v>
      </c>
      <c r="AA152" s="4">
        <v>718490</v>
      </c>
      <c r="AB152" s="4">
        <v>718490</v>
      </c>
      <c r="AC152" s="4">
        <v>718491</v>
      </c>
      <c r="AD152" s="4">
        <v>723648</v>
      </c>
      <c r="AE152" s="4">
        <v>1447296</v>
      </c>
      <c r="AF152" s="4">
        <v>2170944</v>
      </c>
      <c r="AG152" s="4">
        <v>2894592</v>
      </c>
      <c r="AH152" s="4">
        <v>3613083</v>
      </c>
      <c r="AI152" s="4">
        <v>4331574</v>
      </c>
      <c r="AJ152" s="4">
        <v>5050064</v>
      </c>
      <c r="AK152" s="4">
        <v>5768554</v>
      </c>
      <c r="AL152" s="4">
        <v>6487044</v>
      </c>
      <c r="AM152" s="4">
        <v>7205535</v>
      </c>
      <c r="AN152" s="154">
        <v>557320</v>
      </c>
    </row>
    <row r="153" spans="1:40" x14ac:dyDescent="0.2">
      <c r="A153" s="1">
        <v>2019</v>
      </c>
      <c r="B153" s="2" t="s">
        <v>173</v>
      </c>
      <c r="C153" s="2" t="s">
        <v>173</v>
      </c>
      <c r="D153" s="1" t="s">
        <v>524</v>
      </c>
      <c r="E153" s="3">
        <v>5239279</v>
      </c>
      <c r="F153" s="1">
        <v>0</v>
      </c>
      <c r="G153" s="3">
        <v>22681</v>
      </c>
      <c r="H153" s="1">
        <v>0</v>
      </c>
      <c r="I153" s="3">
        <v>5239279</v>
      </c>
      <c r="J153" s="3">
        <v>5216598</v>
      </c>
      <c r="K153" s="3">
        <v>5216598</v>
      </c>
      <c r="L153" s="3">
        <v>0</v>
      </c>
      <c r="M153" s="3">
        <v>478607</v>
      </c>
      <c r="N153" s="3">
        <v>63378</v>
      </c>
      <c r="O153" s="3">
        <v>51901</v>
      </c>
      <c r="P153" s="3">
        <v>296462</v>
      </c>
      <c r="Q153" s="3">
        <v>4348931</v>
      </c>
      <c r="R153" s="3">
        <v>4326250</v>
      </c>
      <c r="S153" s="3">
        <v>4326250</v>
      </c>
      <c r="T153" s="3">
        <v>523928</v>
      </c>
      <c r="U153" s="3">
        <v>523928</v>
      </c>
      <c r="V153" s="3">
        <v>523928</v>
      </c>
      <c r="W153" s="3">
        <v>523928</v>
      </c>
      <c r="X153" s="3">
        <v>520148</v>
      </c>
      <c r="Y153" s="3">
        <v>520148</v>
      </c>
      <c r="Z153" s="4">
        <v>520148</v>
      </c>
      <c r="AA153" s="4">
        <v>520148</v>
      </c>
      <c r="AB153" s="4">
        <v>520148</v>
      </c>
      <c r="AC153" s="4">
        <v>520146</v>
      </c>
      <c r="AD153" s="4">
        <v>523928</v>
      </c>
      <c r="AE153" s="4">
        <v>1047856</v>
      </c>
      <c r="AF153" s="4">
        <v>1571784</v>
      </c>
      <c r="AG153" s="4">
        <v>2095712</v>
      </c>
      <c r="AH153" s="4">
        <v>2615860</v>
      </c>
      <c r="AI153" s="4">
        <v>3136008</v>
      </c>
      <c r="AJ153" s="4">
        <v>3656156</v>
      </c>
      <c r="AK153" s="4">
        <v>4176304</v>
      </c>
      <c r="AL153" s="4">
        <v>4696452</v>
      </c>
      <c r="AM153" s="4">
        <v>5216598</v>
      </c>
      <c r="AN153" s="154">
        <v>419247</v>
      </c>
    </row>
    <row r="154" spans="1:40" x14ac:dyDescent="0.2">
      <c r="A154" s="1">
        <v>2019</v>
      </c>
      <c r="B154" s="2" t="s">
        <v>174</v>
      </c>
      <c r="C154" s="2" t="s">
        <v>174</v>
      </c>
      <c r="D154" s="1" t="s">
        <v>525</v>
      </c>
      <c r="E154" s="3">
        <v>41347840</v>
      </c>
      <c r="F154" s="3">
        <v>4445</v>
      </c>
      <c r="G154" s="3">
        <v>176703</v>
      </c>
      <c r="H154" s="1">
        <v>0</v>
      </c>
      <c r="I154" s="3">
        <v>41343395</v>
      </c>
      <c r="J154" s="3">
        <v>41166692</v>
      </c>
      <c r="K154" s="3">
        <v>41166692</v>
      </c>
      <c r="L154" s="3">
        <v>898179</v>
      </c>
      <c r="M154" s="3">
        <v>3823197</v>
      </c>
      <c r="N154" s="3">
        <v>415957</v>
      </c>
      <c r="O154" s="3">
        <v>424234</v>
      </c>
      <c r="P154" s="3">
        <v>2309694</v>
      </c>
      <c r="Q154" s="3">
        <v>33472134</v>
      </c>
      <c r="R154" s="3">
        <v>33295431</v>
      </c>
      <c r="S154" s="3">
        <v>33295431</v>
      </c>
      <c r="T154" s="3">
        <v>4134340</v>
      </c>
      <c r="U154" s="3">
        <v>4134340</v>
      </c>
      <c r="V154" s="3">
        <v>4134340</v>
      </c>
      <c r="W154" s="3">
        <v>4134340</v>
      </c>
      <c r="X154" s="3">
        <v>4104889</v>
      </c>
      <c r="Y154" s="3">
        <v>4104889</v>
      </c>
      <c r="Z154" s="4">
        <v>4104889</v>
      </c>
      <c r="AA154" s="4">
        <v>4104889</v>
      </c>
      <c r="AB154" s="4">
        <v>4104889</v>
      </c>
      <c r="AC154" s="4">
        <v>4104887</v>
      </c>
      <c r="AD154" s="4">
        <v>4134340</v>
      </c>
      <c r="AE154" s="4">
        <v>8268680</v>
      </c>
      <c r="AF154" s="4">
        <v>12403020</v>
      </c>
      <c r="AG154" s="4">
        <v>16537360</v>
      </c>
      <c r="AH154" s="4">
        <v>20642249</v>
      </c>
      <c r="AI154" s="4">
        <v>24747138</v>
      </c>
      <c r="AJ154" s="4">
        <v>28852027</v>
      </c>
      <c r="AK154" s="4">
        <v>32956916</v>
      </c>
      <c r="AL154" s="4">
        <v>37061805</v>
      </c>
      <c r="AM154" s="4">
        <v>41166692</v>
      </c>
      <c r="AN154" s="154">
        <v>3110039</v>
      </c>
    </row>
    <row r="155" spans="1:40" x14ac:dyDescent="0.2">
      <c r="A155" s="1">
        <v>2019</v>
      </c>
      <c r="B155" s="2" t="s">
        <v>175</v>
      </c>
      <c r="C155" s="2" t="s">
        <v>175</v>
      </c>
      <c r="D155" s="1" t="s">
        <v>526</v>
      </c>
      <c r="E155" s="3">
        <v>14076257</v>
      </c>
      <c r="F155" s="3">
        <v>1659</v>
      </c>
      <c r="G155" s="3">
        <v>47702</v>
      </c>
      <c r="H155" s="1">
        <v>0</v>
      </c>
      <c r="I155" s="3">
        <v>14074598</v>
      </c>
      <c r="J155" s="3">
        <v>14026896</v>
      </c>
      <c r="K155" s="3">
        <v>14026896</v>
      </c>
      <c r="L155" s="3">
        <v>335141</v>
      </c>
      <c r="M155" s="3">
        <v>1087765</v>
      </c>
      <c r="N155" s="3">
        <v>139580</v>
      </c>
      <c r="O155" s="3">
        <v>129325</v>
      </c>
      <c r="P155" s="3">
        <v>623517</v>
      </c>
      <c r="Q155" s="3">
        <v>11759270</v>
      </c>
      <c r="R155" s="3">
        <v>11711568</v>
      </c>
      <c r="S155" s="3">
        <v>11711568</v>
      </c>
      <c r="T155" s="3">
        <v>1407460</v>
      </c>
      <c r="U155" s="3">
        <v>1407460</v>
      </c>
      <c r="V155" s="3">
        <v>1407460</v>
      </c>
      <c r="W155" s="3">
        <v>1407460</v>
      </c>
      <c r="X155" s="3">
        <v>1399509</v>
      </c>
      <c r="Y155" s="3">
        <v>1399509</v>
      </c>
      <c r="Z155" s="4">
        <v>1399510</v>
      </c>
      <c r="AA155" s="4">
        <v>1399510</v>
      </c>
      <c r="AB155" s="4">
        <v>1399510</v>
      </c>
      <c r="AC155" s="4">
        <v>1399508</v>
      </c>
      <c r="AD155" s="4">
        <v>1407460</v>
      </c>
      <c r="AE155" s="4">
        <v>2814920</v>
      </c>
      <c r="AF155" s="4">
        <v>4222380</v>
      </c>
      <c r="AG155" s="4">
        <v>5629840</v>
      </c>
      <c r="AH155" s="4">
        <v>7029349</v>
      </c>
      <c r="AI155" s="4">
        <v>8428858</v>
      </c>
      <c r="AJ155" s="4">
        <v>9828368</v>
      </c>
      <c r="AK155" s="4">
        <v>11227878</v>
      </c>
      <c r="AL155" s="4">
        <v>12627388</v>
      </c>
      <c r="AM155" s="4">
        <v>14026896</v>
      </c>
      <c r="AN155" s="154">
        <v>865591</v>
      </c>
    </row>
    <row r="156" spans="1:40" x14ac:dyDescent="0.2">
      <c r="A156" s="1">
        <v>2019</v>
      </c>
      <c r="B156" s="2" t="s">
        <v>176</v>
      </c>
      <c r="C156" s="2" t="s">
        <v>176</v>
      </c>
      <c r="D156" s="1" t="s">
        <v>527</v>
      </c>
      <c r="E156" s="3">
        <v>1892452</v>
      </c>
      <c r="F156" s="3">
        <v>348</v>
      </c>
      <c r="G156" s="3">
        <v>8525</v>
      </c>
      <c r="H156" s="1">
        <v>0</v>
      </c>
      <c r="I156" s="3">
        <v>1892104</v>
      </c>
      <c r="J156" s="3">
        <v>1883579</v>
      </c>
      <c r="K156" s="3">
        <v>1883579</v>
      </c>
      <c r="L156" s="3">
        <v>70380</v>
      </c>
      <c r="M156" s="3">
        <v>215200</v>
      </c>
      <c r="N156" s="3">
        <v>20685</v>
      </c>
      <c r="O156" s="3">
        <v>22524</v>
      </c>
      <c r="P156" s="3">
        <v>112821</v>
      </c>
      <c r="Q156" s="3">
        <v>1450494</v>
      </c>
      <c r="R156" s="3">
        <v>1441969</v>
      </c>
      <c r="S156" s="3">
        <v>1441969</v>
      </c>
      <c r="T156" s="3">
        <v>189210</v>
      </c>
      <c r="U156" s="3">
        <v>189210</v>
      </c>
      <c r="V156" s="3">
        <v>189210</v>
      </c>
      <c r="W156" s="3">
        <v>189210</v>
      </c>
      <c r="X156" s="3">
        <v>187790</v>
      </c>
      <c r="Y156" s="3">
        <v>187790</v>
      </c>
      <c r="Z156" s="4">
        <v>187790</v>
      </c>
      <c r="AA156" s="4">
        <v>187790</v>
      </c>
      <c r="AB156" s="4">
        <v>187790</v>
      </c>
      <c r="AC156" s="4">
        <v>187789</v>
      </c>
      <c r="AD156" s="4">
        <v>189210</v>
      </c>
      <c r="AE156" s="4">
        <v>378420</v>
      </c>
      <c r="AF156" s="4">
        <v>567630</v>
      </c>
      <c r="AG156" s="4">
        <v>756840</v>
      </c>
      <c r="AH156" s="4">
        <v>944630</v>
      </c>
      <c r="AI156" s="4">
        <v>1132420</v>
      </c>
      <c r="AJ156" s="4">
        <v>1320210</v>
      </c>
      <c r="AK156" s="4">
        <v>1508000</v>
      </c>
      <c r="AL156" s="4">
        <v>1695790</v>
      </c>
      <c r="AM156" s="4">
        <v>1883579</v>
      </c>
      <c r="AN156" s="154">
        <v>149447</v>
      </c>
    </row>
    <row r="157" spans="1:40" x14ac:dyDescent="0.2">
      <c r="A157" s="1">
        <v>2019</v>
      </c>
      <c r="B157" s="2" t="s">
        <v>177</v>
      </c>
      <c r="C157" s="2" t="s">
        <v>177</v>
      </c>
      <c r="D157" s="1" t="s">
        <v>528</v>
      </c>
      <c r="E157" s="3">
        <v>2600380</v>
      </c>
      <c r="F157" s="3">
        <v>0</v>
      </c>
      <c r="G157" s="3">
        <v>11400</v>
      </c>
      <c r="H157" s="1">
        <v>0</v>
      </c>
      <c r="I157" s="3">
        <v>2600380</v>
      </c>
      <c r="J157" s="3">
        <v>2588980</v>
      </c>
      <c r="K157" s="3">
        <v>2588980</v>
      </c>
      <c r="L157" s="3">
        <v>0</v>
      </c>
      <c r="M157" s="3">
        <v>286819</v>
      </c>
      <c r="N157" s="3">
        <v>36262</v>
      </c>
      <c r="O157" s="3">
        <v>33253</v>
      </c>
      <c r="P157" s="3">
        <v>151064</v>
      </c>
      <c r="Q157" s="3">
        <v>2092982</v>
      </c>
      <c r="R157" s="3">
        <v>2081582</v>
      </c>
      <c r="S157" s="3">
        <v>2081582</v>
      </c>
      <c r="T157" s="3">
        <v>260038</v>
      </c>
      <c r="U157" s="3">
        <v>260038</v>
      </c>
      <c r="V157" s="3">
        <v>260038</v>
      </c>
      <c r="W157" s="3">
        <v>260038</v>
      </c>
      <c r="X157" s="3">
        <v>258138</v>
      </c>
      <c r="Y157" s="3">
        <v>258138</v>
      </c>
      <c r="Z157" s="4">
        <v>258138</v>
      </c>
      <c r="AA157" s="4">
        <v>258138</v>
      </c>
      <c r="AB157" s="4">
        <v>258138</v>
      </c>
      <c r="AC157" s="4">
        <v>258138</v>
      </c>
      <c r="AD157" s="4">
        <v>260038</v>
      </c>
      <c r="AE157" s="4">
        <v>520076</v>
      </c>
      <c r="AF157" s="4">
        <v>780114</v>
      </c>
      <c r="AG157" s="4">
        <v>1040152</v>
      </c>
      <c r="AH157" s="4">
        <v>1298290</v>
      </c>
      <c r="AI157" s="4">
        <v>1556428</v>
      </c>
      <c r="AJ157" s="4">
        <v>1814566</v>
      </c>
      <c r="AK157" s="4">
        <v>2072704</v>
      </c>
      <c r="AL157" s="4">
        <v>2330842</v>
      </c>
      <c r="AM157" s="4">
        <v>2588980</v>
      </c>
      <c r="AN157" s="154">
        <v>213965</v>
      </c>
    </row>
    <row r="158" spans="1:40" x14ac:dyDescent="0.2">
      <c r="A158" s="1">
        <v>2019</v>
      </c>
      <c r="B158" s="2" t="s">
        <v>178</v>
      </c>
      <c r="C158" s="2" t="s">
        <v>178</v>
      </c>
      <c r="D158" s="1" t="s">
        <v>529</v>
      </c>
      <c r="E158" s="3">
        <v>12216838</v>
      </c>
      <c r="F158" s="3">
        <v>1592</v>
      </c>
      <c r="G158" s="3">
        <v>44060</v>
      </c>
      <c r="H158" s="1">
        <v>0</v>
      </c>
      <c r="I158" s="3">
        <v>12215246</v>
      </c>
      <c r="J158" s="3">
        <v>12171186</v>
      </c>
      <c r="K158" s="3">
        <v>12171186</v>
      </c>
      <c r="L158" s="3">
        <v>321736</v>
      </c>
      <c r="M158" s="3">
        <v>1028565</v>
      </c>
      <c r="N158" s="3">
        <v>121709</v>
      </c>
      <c r="O158" s="3">
        <v>110032</v>
      </c>
      <c r="P158" s="3">
        <v>575913</v>
      </c>
      <c r="Q158" s="3">
        <v>10057291</v>
      </c>
      <c r="R158" s="3">
        <v>10013231</v>
      </c>
      <c r="S158" s="3">
        <v>10013231</v>
      </c>
      <c r="T158" s="3">
        <v>1221525</v>
      </c>
      <c r="U158" s="3">
        <v>1221525</v>
      </c>
      <c r="V158" s="3">
        <v>1221525</v>
      </c>
      <c r="W158" s="3">
        <v>1221525</v>
      </c>
      <c r="X158" s="3">
        <v>1214181</v>
      </c>
      <c r="Y158" s="3">
        <v>1214181</v>
      </c>
      <c r="Z158" s="4">
        <v>1214181</v>
      </c>
      <c r="AA158" s="4">
        <v>1214181</v>
      </c>
      <c r="AB158" s="4">
        <v>1214181</v>
      </c>
      <c r="AC158" s="4">
        <v>1214181</v>
      </c>
      <c r="AD158" s="4">
        <v>1221525</v>
      </c>
      <c r="AE158" s="4">
        <v>2443050</v>
      </c>
      <c r="AF158" s="4">
        <v>3664575</v>
      </c>
      <c r="AG158" s="4">
        <v>4886100</v>
      </c>
      <c r="AH158" s="4">
        <v>6100281</v>
      </c>
      <c r="AI158" s="4">
        <v>7314462</v>
      </c>
      <c r="AJ158" s="4">
        <v>8528643</v>
      </c>
      <c r="AK158" s="4">
        <v>9742824</v>
      </c>
      <c r="AL158" s="4">
        <v>10957005</v>
      </c>
      <c r="AM158" s="4">
        <v>12171186</v>
      </c>
      <c r="AN158" s="154">
        <v>748200</v>
      </c>
    </row>
    <row r="159" spans="1:40" x14ac:dyDescent="0.2">
      <c r="A159" s="1">
        <v>2019</v>
      </c>
      <c r="B159" s="2" t="s">
        <v>179</v>
      </c>
      <c r="C159" s="2" t="s">
        <v>179</v>
      </c>
      <c r="D159" s="1" t="s">
        <v>530</v>
      </c>
      <c r="E159" s="3">
        <v>3580405</v>
      </c>
      <c r="F159" s="1">
        <v>564</v>
      </c>
      <c r="G159" s="3">
        <v>15352</v>
      </c>
      <c r="H159" s="1">
        <v>0</v>
      </c>
      <c r="I159" s="3">
        <v>3579841</v>
      </c>
      <c r="J159" s="3">
        <v>3564489</v>
      </c>
      <c r="K159" s="3">
        <v>3564489</v>
      </c>
      <c r="L159" s="3">
        <v>113948</v>
      </c>
      <c r="M159" s="3">
        <v>378784</v>
      </c>
      <c r="N159" s="3">
        <v>44595</v>
      </c>
      <c r="O159" s="3">
        <v>38916</v>
      </c>
      <c r="P159" s="3">
        <v>200667</v>
      </c>
      <c r="Q159" s="3">
        <v>2802931</v>
      </c>
      <c r="R159" s="3">
        <v>2787579</v>
      </c>
      <c r="S159" s="3">
        <v>2787579</v>
      </c>
      <c r="T159" s="3">
        <v>357984</v>
      </c>
      <c r="U159" s="3">
        <v>357984</v>
      </c>
      <c r="V159" s="3">
        <v>357984</v>
      </c>
      <c r="W159" s="3">
        <v>357984</v>
      </c>
      <c r="X159" s="3">
        <v>355426</v>
      </c>
      <c r="Y159" s="3">
        <v>355426</v>
      </c>
      <c r="Z159" s="4">
        <v>355425</v>
      </c>
      <c r="AA159" s="4">
        <v>355425</v>
      </c>
      <c r="AB159" s="4">
        <v>355425</v>
      </c>
      <c r="AC159" s="4">
        <v>355426</v>
      </c>
      <c r="AD159" s="4">
        <v>357984</v>
      </c>
      <c r="AE159" s="4">
        <v>715968</v>
      </c>
      <c r="AF159" s="4">
        <v>1073952</v>
      </c>
      <c r="AG159" s="4">
        <v>1431936</v>
      </c>
      <c r="AH159" s="4">
        <v>1787362</v>
      </c>
      <c r="AI159" s="4">
        <v>2142788</v>
      </c>
      <c r="AJ159" s="4">
        <v>2498213</v>
      </c>
      <c r="AK159" s="4">
        <v>2853638</v>
      </c>
      <c r="AL159" s="4">
        <v>3209063</v>
      </c>
      <c r="AM159" s="4">
        <v>3564489</v>
      </c>
      <c r="AN159" s="154">
        <v>279813</v>
      </c>
    </row>
    <row r="160" spans="1:40" x14ac:dyDescent="0.2">
      <c r="A160" s="1">
        <v>2019</v>
      </c>
      <c r="B160" s="2" t="s">
        <v>180</v>
      </c>
      <c r="C160" s="2" t="s">
        <v>180</v>
      </c>
      <c r="D160" s="1" t="s">
        <v>531</v>
      </c>
      <c r="E160" s="3">
        <v>2048586</v>
      </c>
      <c r="F160" s="3">
        <v>431</v>
      </c>
      <c r="G160" s="3">
        <v>7651</v>
      </c>
      <c r="H160" s="1">
        <v>0</v>
      </c>
      <c r="I160" s="3">
        <v>2048155</v>
      </c>
      <c r="J160" s="3">
        <v>2040504</v>
      </c>
      <c r="K160" s="3">
        <v>2040504</v>
      </c>
      <c r="L160" s="3">
        <v>87137</v>
      </c>
      <c r="M160" s="3">
        <v>202342</v>
      </c>
      <c r="N160" s="3">
        <v>21910</v>
      </c>
      <c r="O160" s="3">
        <v>21802</v>
      </c>
      <c r="P160" s="3">
        <v>100007</v>
      </c>
      <c r="Q160" s="3">
        <v>1614957</v>
      </c>
      <c r="R160" s="3">
        <v>1607306</v>
      </c>
      <c r="S160" s="3">
        <v>1607306</v>
      </c>
      <c r="T160" s="3">
        <v>204816</v>
      </c>
      <c r="U160" s="3">
        <v>204816</v>
      </c>
      <c r="V160" s="3">
        <v>204816</v>
      </c>
      <c r="W160" s="3">
        <v>204816</v>
      </c>
      <c r="X160" s="3">
        <v>203540</v>
      </c>
      <c r="Y160" s="3">
        <v>203540</v>
      </c>
      <c r="Z160" s="4">
        <v>203540</v>
      </c>
      <c r="AA160" s="4">
        <v>203540</v>
      </c>
      <c r="AB160" s="4">
        <v>203540</v>
      </c>
      <c r="AC160" s="4">
        <v>203540</v>
      </c>
      <c r="AD160" s="4">
        <v>204816</v>
      </c>
      <c r="AE160" s="4">
        <v>409632</v>
      </c>
      <c r="AF160" s="4">
        <v>614448</v>
      </c>
      <c r="AG160" s="4">
        <v>819264</v>
      </c>
      <c r="AH160" s="4">
        <v>1022804</v>
      </c>
      <c r="AI160" s="4">
        <v>1226344</v>
      </c>
      <c r="AJ160" s="4">
        <v>1429884</v>
      </c>
      <c r="AK160" s="4">
        <v>1633424</v>
      </c>
      <c r="AL160" s="4">
        <v>1836964</v>
      </c>
      <c r="AM160" s="4">
        <v>2040504</v>
      </c>
      <c r="AN160" s="154">
        <v>136508</v>
      </c>
    </row>
    <row r="161" spans="1:40" x14ac:dyDescent="0.2">
      <c r="A161" s="1">
        <v>2019</v>
      </c>
      <c r="B161" s="2" t="s">
        <v>181</v>
      </c>
      <c r="C161" s="2" t="s">
        <v>181</v>
      </c>
      <c r="D161" s="1" t="s">
        <v>532</v>
      </c>
      <c r="E161" s="3">
        <v>1495129</v>
      </c>
      <c r="F161" s="1">
        <v>282</v>
      </c>
      <c r="G161" s="3">
        <v>7019</v>
      </c>
      <c r="H161" s="1">
        <v>0</v>
      </c>
      <c r="I161" s="3">
        <v>1494847</v>
      </c>
      <c r="J161" s="3">
        <v>1487828</v>
      </c>
      <c r="K161" s="3">
        <v>1487828</v>
      </c>
      <c r="L161" s="3">
        <v>56974</v>
      </c>
      <c r="M161" s="3">
        <v>186709</v>
      </c>
      <c r="N161" s="3">
        <v>19148</v>
      </c>
      <c r="O161" s="3">
        <v>20358</v>
      </c>
      <c r="P161" s="3">
        <v>94072</v>
      </c>
      <c r="Q161" s="3">
        <v>1117586</v>
      </c>
      <c r="R161" s="3">
        <v>1110567</v>
      </c>
      <c r="S161" s="3">
        <v>1110567</v>
      </c>
      <c r="T161" s="3">
        <v>149485</v>
      </c>
      <c r="U161" s="3">
        <v>149485</v>
      </c>
      <c r="V161" s="3">
        <v>149485</v>
      </c>
      <c r="W161" s="3">
        <v>149485</v>
      </c>
      <c r="X161" s="3">
        <v>148315</v>
      </c>
      <c r="Y161" s="3">
        <v>148315</v>
      </c>
      <c r="Z161" s="4">
        <v>148315</v>
      </c>
      <c r="AA161" s="4">
        <v>148315</v>
      </c>
      <c r="AB161" s="4">
        <v>148315</v>
      </c>
      <c r="AC161" s="4">
        <v>148313</v>
      </c>
      <c r="AD161" s="4">
        <v>149485</v>
      </c>
      <c r="AE161" s="4">
        <v>298970</v>
      </c>
      <c r="AF161" s="4">
        <v>448455</v>
      </c>
      <c r="AG161" s="4">
        <v>597940</v>
      </c>
      <c r="AH161" s="4">
        <v>746255</v>
      </c>
      <c r="AI161" s="4">
        <v>894570</v>
      </c>
      <c r="AJ161" s="4">
        <v>1042885</v>
      </c>
      <c r="AK161" s="4">
        <v>1191200</v>
      </c>
      <c r="AL161" s="4">
        <v>1339515</v>
      </c>
      <c r="AM161" s="4">
        <v>1487828</v>
      </c>
      <c r="AN161" s="154">
        <v>135692</v>
      </c>
    </row>
    <row r="162" spans="1:40" x14ac:dyDescent="0.2">
      <c r="A162" s="1">
        <v>2019</v>
      </c>
      <c r="B162" s="2" t="s">
        <v>182</v>
      </c>
      <c r="C162" s="2" t="s">
        <v>182</v>
      </c>
      <c r="D162" s="1" t="s">
        <v>533</v>
      </c>
      <c r="E162" s="3">
        <v>3296813</v>
      </c>
      <c r="F162" s="1">
        <v>614</v>
      </c>
      <c r="G162" s="3">
        <v>14368</v>
      </c>
      <c r="H162" s="1">
        <v>0</v>
      </c>
      <c r="I162" s="3">
        <v>3296199</v>
      </c>
      <c r="J162" s="3">
        <v>3281831</v>
      </c>
      <c r="K162" s="3">
        <v>3281831</v>
      </c>
      <c r="L162" s="3">
        <v>124002</v>
      </c>
      <c r="M162" s="3">
        <v>328954</v>
      </c>
      <c r="N162" s="3">
        <v>33551</v>
      </c>
      <c r="O162" s="3">
        <v>34879</v>
      </c>
      <c r="P162" s="3">
        <v>188111</v>
      </c>
      <c r="Q162" s="3">
        <v>2586702</v>
      </c>
      <c r="R162" s="3">
        <v>2572334</v>
      </c>
      <c r="S162" s="3">
        <v>2572334</v>
      </c>
      <c r="T162" s="3">
        <v>329620</v>
      </c>
      <c r="U162" s="3">
        <v>329620</v>
      </c>
      <c r="V162" s="3">
        <v>329620</v>
      </c>
      <c r="W162" s="3">
        <v>329620</v>
      </c>
      <c r="X162" s="3">
        <v>327225</v>
      </c>
      <c r="Y162" s="3">
        <v>327225</v>
      </c>
      <c r="Z162" s="4">
        <v>327225</v>
      </c>
      <c r="AA162" s="4">
        <v>327225</v>
      </c>
      <c r="AB162" s="4">
        <v>327225</v>
      </c>
      <c r="AC162" s="4">
        <v>327226</v>
      </c>
      <c r="AD162" s="4">
        <v>329620</v>
      </c>
      <c r="AE162" s="4">
        <v>659240</v>
      </c>
      <c r="AF162" s="4">
        <v>988860</v>
      </c>
      <c r="AG162" s="4">
        <v>1318480</v>
      </c>
      <c r="AH162" s="4">
        <v>1645705</v>
      </c>
      <c r="AI162" s="4">
        <v>1972930</v>
      </c>
      <c r="AJ162" s="4">
        <v>2300155</v>
      </c>
      <c r="AK162" s="4">
        <v>2627380</v>
      </c>
      <c r="AL162" s="4">
        <v>2954605</v>
      </c>
      <c r="AM162" s="4">
        <v>3281831</v>
      </c>
      <c r="AN162" s="154">
        <v>258840</v>
      </c>
    </row>
    <row r="163" spans="1:40" x14ac:dyDescent="0.2">
      <c r="A163" s="1">
        <v>2019</v>
      </c>
      <c r="B163" s="2" t="s">
        <v>183</v>
      </c>
      <c r="C163" s="2" t="s">
        <v>701</v>
      </c>
      <c r="D163" s="1" t="s">
        <v>534</v>
      </c>
      <c r="E163" s="3">
        <v>3092332</v>
      </c>
      <c r="F163" s="3">
        <v>580</v>
      </c>
      <c r="G163" s="3">
        <v>14046</v>
      </c>
      <c r="H163" s="1">
        <v>0</v>
      </c>
      <c r="I163" s="3">
        <v>3091752</v>
      </c>
      <c r="J163" s="3">
        <v>3077706</v>
      </c>
      <c r="K163" s="3">
        <v>3077706</v>
      </c>
      <c r="L163" s="3">
        <v>117300</v>
      </c>
      <c r="M163" s="3">
        <v>353569</v>
      </c>
      <c r="N163" s="3">
        <v>40469</v>
      </c>
      <c r="O163" s="3">
        <v>40188</v>
      </c>
      <c r="P163" s="3">
        <v>183591</v>
      </c>
      <c r="Q163" s="3">
        <v>2356635</v>
      </c>
      <c r="R163" s="3">
        <v>2342589</v>
      </c>
      <c r="S163" s="3">
        <v>2342589</v>
      </c>
      <c r="T163" s="3">
        <v>309175</v>
      </c>
      <c r="U163" s="3">
        <v>309175</v>
      </c>
      <c r="V163" s="3">
        <v>309175</v>
      </c>
      <c r="W163" s="3">
        <v>309175</v>
      </c>
      <c r="X163" s="3">
        <v>306834</v>
      </c>
      <c r="Y163" s="3">
        <v>306834</v>
      </c>
      <c r="Z163" s="4">
        <v>306835</v>
      </c>
      <c r="AA163" s="4">
        <v>306835</v>
      </c>
      <c r="AB163" s="4">
        <v>306835</v>
      </c>
      <c r="AC163" s="4">
        <v>306833</v>
      </c>
      <c r="AD163" s="4">
        <v>309175</v>
      </c>
      <c r="AE163" s="4">
        <v>618350</v>
      </c>
      <c r="AF163" s="4">
        <v>927525</v>
      </c>
      <c r="AG163" s="4">
        <v>1236700</v>
      </c>
      <c r="AH163" s="4">
        <v>1543534</v>
      </c>
      <c r="AI163" s="4">
        <v>1850368</v>
      </c>
      <c r="AJ163" s="4">
        <v>2157203</v>
      </c>
      <c r="AK163" s="4">
        <v>2464038</v>
      </c>
      <c r="AL163" s="4">
        <v>2770873</v>
      </c>
      <c r="AM163" s="4">
        <v>3077706</v>
      </c>
      <c r="AN163" s="154">
        <v>272217</v>
      </c>
    </row>
    <row r="164" spans="1:40" x14ac:dyDescent="0.2">
      <c r="A164" s="1">
        <v>2019</v>
      </c>
      <c r="B164" s="2" t="s">
        <v>184</v>
      </c>
      <c r="C164" s="2" t="s">
        <v>184</v>
      </c>
      <c r="D164" s="1" t="s">
        <v>535</v>
      </c>
      <c r="E164" s="3">
        <v>12593367</v>
      </c>
      <c r="F164" s="3">
        <v>1659</v>
      </c>
      <c r="G164" s="3">
        <v>54561</v>
      </c>
      <c r="H164" s="1">
        <v>0</v>
      </c>
      <c r="I164" s="3">
        <v>12591708</v>
      </c>
      <c r="J164" s="3">
        <v>12537147</v>
      </c>
      <c r="K164" s="3">
        <v>12537147</v>
      </c>
      <c r="L164" s="3">
        <v>335141</v>
      </c>
      <c r="M164" s="3">
        <v>1219233</v>
      </c>
      <c r="N164" s="3">
        <v>133635</v>
      </c>
      <c r="O164" s="3">
        <v>141674</v>
      </c>
      <c r="P164" s="3">
        <v>713174</v>
      </c>
      <c r="Q164" s="3">
        <v>10048851</v>
      </c>
      <c r="R164" s="3">
        <v>9994290</v>
      </c>
      <c r="S164" s="3">
        <v>9994290</v>
      </c>
      <c r="T164" s="3">
        <v>1259171</v>
      </c>
      <c r="U164" s="3">
        <v>1259171</v>
      </c>
      <c r="V164" s="3">
        <v>1259171</v>
      </c>
      <c r="W164" s="3">
        <v>1259171</v>
      </c>
      <c r="X164" s="3">
        <v>1250077</v>
      </c>
      <c r="Y164" s="3">
        <v>1250077</v>
      </c>
      <c r="Z164" s="4">
        <v>1250077</v>
      </c>
      <c r="AA164" s="4">
        <v>1250077</v>
      </c>
      <c r="AB164" s="4">
        <v>1250077</v>
      </c>
      <c r="AC164" s="4">
        <v>1250078</v>
      </c>
      <c r="AD164" s="4">
        <v>1259171</v>
      </c>
      <c r="AE164" s="4">
        <v>2518342</v>
      </c>
      <c r="AF164" s="4">
        <v>3777513</v>
      </c>
      <c r="AG164" s="4">
        <v>5036684</v>
      </c>
      <c r="AH164" s="4">
        <v>6286761</v>
      </c>
      <c r="AI164" s="4">
        <v>7536838</v>
      </c>
      <c r="AJ164" s="4">
        <v>8786915</v>
      </c>
      <c r="AK164" s="4">
        <v>10036992</v>
      </c>
      <c r="AL164" s="4">
        <v>11287069</v>
      </c>
      <c r="AM164" s="4">
        <v>12537147</v>
      </c>
      <c r="AN164" s="154">
        <v>1040302</v>
      </c>
    </row>
    <row r="165" spans="1:40" x14ac:dyDescent="0.2">
      <c r="A165" s="1">
        <v>2019</v>
      </c>
      <c r="B165" s="2" t="s">
        <v>185</v>
      </c>
      <c r="C165" s="2" t="s">
        <v>185</v>
      </c>
      <c r="D165" s="1" t="s">
        <v>536</v>
      </c>
      <c r="E165" s="3">
        <v>2883022</v>
      </c>
      <c r="F165" s="1">
        <v>564</v>
      </c>
      <c r="G165" s="3">
        <v>11503</v>
      </c>
      <c r="H165" s="1">
        <v>0</v>
      </c>
      <c r="I165" s="3">
        <v>2882458</v>
      </c>
      <c r="J165" s="3">
        <v>2870955</v>
      </c>
      <c r="K165" s="3">
        <v>2870955</v>
      </c>
      <c r="L165" s="3">
        <v>113948</v>
      </c>
      <c r="M165" s="3">
        <v>296833</v>
      </c>
      <c r="N165" s="3">
        <v>39302</v>
      </c>
      <c r="O165" s="3">
        <v>34262</v>
      </c>
      <c r="P165" s="3">
        <v>150999</v>
      </c>
      <c r="Q165" s="3">
        <v>2247114</v>
      </c>
      <c r="R165" s="3">
        <v>2235611</v>
      </c>
      <c r="S165" s="3">
        <v>2235611</v>
      </c>
      <c r="T165" s="3">
        <v>288246</v>
      </c>
      <c r="U165" s="3">
        <v>288246</v>
      </c>
      <c r="V165" s="3">
        <v>288246</v>
      </c>
      <c r="W165" s="3">
        <v>288246</v>
      </c>
      <c r="X165" s="3">
        <v>286329</v>
      </c>
      <c r="Y165" s="3">
        <v>286329</v>
      </c>
      <c r="Z165" s="4">
        <v>286328</v>
      </c>
      <c r="AA165" s="4">
        <v>286328</v>
      </c>
      <c r="AB165" s="4">
        <v>286328</v>
      </c>
      <c r="AC165" s="4">
        <v>286329</v>
      </c>
      <c r="AD165" s="4">
        <v>288246</v>
      </c>
      <c r="AE165" s="4">
        <v>576492</v>
      </c>
      <c r="AF165" s="4">
        <v>864738</v>
      </c>
      <c r="AG165" s="4">
        <v>1152984</v>
      </c>
      <c r="AH165" s="4">
        <v>1439313</v>
      </c>
      <c r="AI165" s="4">
        <v>1725642</v>
      </c>
      <c r="AJ165" s="4">
        <v>2011970</v>
      </c>
      <c r="AK165" s="4">
        <v>2298298</v>
      </c>
      <c r="AL165" s="4">
        <v>2584626</v>
      </c>
      <c r="AM165" s="4">
        <v>2870955</v>
      </c>
      <c r="AN165" s="154">
        <v>197692</v>
      </c>
    </row>
    <row r="166" spans="1:40" x14ac:dyDescent="0.2">
      <c r="A166" s="1">
        <v>2019</v>
      </c>
      <c r="B166" s="2" t="s">
        <v>186</v>
      </c>
      <c r="C166" s="2" t="s">
        <v>186</v>
      </c>
      <c r="D166" s="1" t="s">
        <v>537</v>
      </c>
      <c r="E166" s="3">
        <v>12265401</v>
      </c>
      <c r="F166" s="3">
        <v>697</v>
      </c>
      <c r="G166" s="3">
        <v>61838</v>
      </c>
      <c r="H166" s="3">
        <v>238668</v>
      </c>
      <c r="I166" s="3">
        <v>12264704</v>
      </c>
      <c r="J166" s="3">
        <v>12202866</v>
      </c>
      <c r="K166" s="3">
        <v>11964198</v>
      </c>
      <c r="L166" s="3">
        <v>140759</v>
      </c>
      <c r="M166" s="3">
        <v>1392723</v>
      </c>
      <c r="N166" s="3">
        <v>207926</v>
      </c>
      <c r="O166" s="3">
        <v>163142</v>
      </c>
      <c r="P166" s="3">
        <v>808283</v>
      </c>
      <c r="Q166" s="3">
        <v>9551871</v>
      </c>
      <c r="R166" s="3">
        <v>9490033</v>
      </c>
      <c r="S166" s="3">
        <v>9251365</v>
      </c>
      <c r="T166" s="3">
        <v>1226470</v>
      </c>
      <c r="U166" s="3">
        <v>1226470</v>
      </c>
      <c r="V166" s="3">
        <v>1226470</v>
      </c>
      <c r="W166" s="3">
        <v>1226470</v>
      </c>
      <c r="X166" s="3">
        <v>1216164</v>
      </c>
      <c r="Y166" s="3">
        <v>1216164</v>
      </c>
      <c r="Z166" s="4">
        <v>1156498</v>
      </c>
      <c r="AA166" s="4">
        <v>1156498</v>
      </c>
      <c r="AB166" s="4">
        <v>1156498</v>
      </c>
      <c r="AC166" s="4">
        <v>1156496</v>
      </c>
      <c r="AD166" s="4">
        <v>1226470</v>
      </c>
      <c r="AE166" s="4">
        <v>2452940</v>
      </c>
      <c r="AF166" s="4">
        <v>3679410</v>
      </c>
      <c r="AG166" s="4">
        <v>4905880</v>
      </c>
      <c r="AH166" s="4">
        <v>6122044</v>
      </c>
      <c r="AI166" s="4">
        <v>7338208</v>
      </c>
      <c r="AJ166" s="4">
        <v>8494706</v>
      </c>
      <c r="AK166" s="4">
        <v>9651204</v>
      </c>
      <c r="AL166" s="4">
        <v>10807702</v>
      </c>
      <c r="AM166" s="4">
        <v>11964198</v>
      </c>
      <c r="AN166" s="154">
        <v>1131369</v>
      </c>
    </row>
    <row r="167" spans="1:40" x14ac:dyDescent="0.2">
      <c r="A167" s="1">
        <v>2019</v>
      </c>
      <c r="B167" s="2" t="s">
        <v>187</v>
      </c>
      <c r="C167" s="2" t="s">
        <v>187</v>
      </c>
      <c r="D167" s="1" t="s">
        <v>538</v>
      </c>
      <c r="E167" s="3">
        <v>4542786</v>
      </c>
      <c r="F167" s="1">
        <v>531</v>
      </c>
      <c r="G167" s="3">
        <v>20358</v>
      </c>
      <c r="H167" s="1">
        <v>0</v>
      </c>
      <c r="I167" s="3">
        <v>4542255</v>
      </c>
      <c r="J167" s="3">
        <v>4521897</v>
      </c>
      <c r="K167" s="3">
        <v>4521897</v>
      </c>
      <c r="L167" s="3">
        <v>107245</v>
      </c>
      <c r="M167" s="3">
        <v>471446</v>
      </c>
      <c r="N167" s="3">
        <v>49250</v>
      </c>
      <c r="O167" s="3">
        <v>50473</v>
      </c>
      <c r="P167" s="3">
        <v>266213</v>
      </c>
      <c r="Q167" s="3">
        <v>3597628</v>
      </c>
      <c r="R167" s="3">
        <v>3577270</v>
      </c>
      <c r="S167" s="3">
        <v>3577270</v>
      </c>
      <c r="T167" s="3">
        <v>454226</v>
      </c>
      <c r="U167" s="3">
        <v>454226</v>
      </c>
      <c r="V167" s="3">
        <v>454226</v>
      </c>
      <c r="W167" s="3">
        <v>454226</v>
      </c>
      <c r="X167" s="3">
        <v>450832</v>
      </c>
      <c r="Y167" s="3">
        <v>450832</v>
      </c>
      <c r="Z167" s="4">
        <v>450832</v>
      </c>
      <c r="AA167" s="4">
        <v>450832</v>
      </c>
      <c r="AB167" s="4">
        <v>450832</v>
      </c>
      <c r="AC167" s="4">
        <v>450833</v>
      </c>
      <c r="AD167" s="4">
        <v>454226</v>
      </c>
      <c r="AE167" s="4">
        <v>908452</v>
      </c>
      <c r="AF167" s="4">
        <v>1362678</v>
      </c>
      <c r="AG167" s="4">
        <v>1816904</v>
      </c>
      <c r="AH167" s="4">
        <v>2267736</v>
      </c>
      <c r="AI167" s="4">
        <v>2718568</v>
      </c>
      <c r="AJ167" s="4">
        <v>3169400</v>
      </c>
      <c r="AK167" s="4">
        <v>3620232</v>
      </c>
      <c r="AL167" s="4">
        <v>4071064</v>
      </c>
      <c r="AM167" s="4">
        <v>4521897</v>
      </c>
      <c r="AN167" s="154">
        <v>360211</v>
      </c>
    </row>
    <row r="168" spans="1:40" x14ac:dyDescent="0.2">
      <c r="A168" s="1">
        <v>2019</v>
      </c>
      <c r="B168" s="2" t="s">
        <v>188</v>
      </c>
      <c r="C168" s="2" t="s">
        <v>188</v>
      </c>
      <c r="D168" s="1" t="s">
        <v>539</v>
      </c>
      <c r="E168" s="3">
        <v>44471111</v>
      </c>
      <c r="F168" s="3">
        <v>3881</v>
      </c>
      <c r="G168" s="3">
        <v>185748</v>
      </c>
      <c r="H168" s="3">
        <v>0</v>
      </c>
      <c r="I168" s="3">
        <v>44467230</v>
      </c>
      <c r="J168" s="3">
        <v>44281482</v>
      </c>
      <c r="K168" s="3">
        <v>44281482</v>
      </c>
      <c r="L168" s="3">
        <v>784231</v>
      </c>
      <c r="M168" s="3">
        <v>4036146</v>
      </c>
      <c r="N168" s="3">
        <v>444685</v>
      </c>
      <c r="O168" s="3">
        <v>451006</v>
      </c>
      <c r="P168" s="3">
        <v>2427919</v>
      </c>
      <c r="Q168" s="3">
        <v>36323243</v>
      </c>
      <c r="R168" s="3">
        <v>36137495</v>
      </c>
      <c r="S168" s="3">
        <v>36137495</v>
      </c>
      <c r="T168" s="3">
        <v>4446723</v>
      </c>
      <c r="U168" s="3">
        <v>4446723</v>
      </c>
      <c r="V168" s="3">
        <v>4446723</v>
      </c>
      <c r="W168" s="3">
        <v>4446723</v>
      </c>
      <c r="X168" s="3">
        <v>4415765</v>
      </c>
      <c r="Y168" s="3">
        <v>4415765</v>
      </c>
      <c r="Z168" s="4">
        <v>4415765</v>
      </c>
      <c r="AA168" s="4">
        <v>4415765</v>
      </c>
      <c r="AB168" s="4">
        <v>4415765</v>
      </c>
      <c r="AC168" s="4">
        <v>4415765</v>
      </c>
      <c r="AD168" s="4">
        <v>4446723</v>
      </c>
      <c r="AE168" s="4">
        <v>8893446</v>
      </c>
      <c r="AF168" s="4">
        <v>13340169</v>
      </c>
      <c r="AG168" s="4">
        <v>17786892</v>
      </c>
      <c r="AH168" s="4">
        <v>22202657</v>
      </c>
      <c r="AI168" s="4">
        <v>26618422</v>
      </c>
      <c r="AJ168" s="4">
        <v>31034187</v>
      </c>
      <c r="AK168" s="4">
        <v>35449952</v>
      </c>
      <c r="AL168" s="4">
        <v>39865717</v>
      </c>
      <c r="AM168" s="4">
        <v>44281482</v>
      </c>
      <c r="AN168" s="154">
        <v>3339090</v>
      </c>
    </row>
    <row r="169" spans="1:40" x14ac:dyDescent="0.2">
      <c r="A169" s="1">
        <v>2019</v>
      </c>
      <c r="B169" s="2" t="s">
        <v>189</v>
      </c>
      <c r="C169" s="2" t="s">
        <v>189</v>
      </c>
      <c r="D169" s="1" t="s">
        <v>540</v>
      </c>
      <c r="E169" s="3">
        <v>3951560</v>
      </c>
      <c r="F169" s="1">
        <v>730</v>
      </c>
      <c r="G169" s="3">
        <v>16124</v>
      </c>
      <c r="H169" s="1">
        <v>0</v>
      </c>
      <c r="I169" s="3">
        <v>3950830</v>
      </c>
      <c r="J169" s="3">
        <v>3934706</v>
      </c>
      <c r="K169" s="3">
        <v>3934706</v>
      </c>
      <c r="L169" s="3">
        <v>147462</v>
      </c>
      <c r="M169" s="3">
        <v>359438</v>
      </c>
      <c r="N169" s="3">
        <v>34961</v>
      </c>
      <c r="O169" s="3">
        <v>35604</v>
      </c>
      <c r="P169" s="3">
        <v>214296</v>
      </c>
      <c r="Q169" s="3">
        <v>3159069</v>
      </c>
      <c r="R169" s="3">
        <v>3142945</v>
      </c>
      <c r="S169" s="3">
        <v>3142945</v>
      </c>
      <c r="T169" s="3">
        <v>395083</v>
      </c>
      <c r="U169" s="3">
        <v>395083</v>
      </c>
      <c r="V169" s="3">
        <v>395083</v>
      </c>
      <c r="W169" s="3">
        <v>395083</v>
      </c>
      <c r="X169" s="3">
        <v>392396</v>
      </c>
      <c r="Y169" s="3">
        <v>392396</v>
      </c>
      <c r="Z169" s="4">
        <v>392396</v>
      </c>
      <c r="AA169" s="4">
        <v>392396</v>
      </c>
      <c r="AB169" s="4">
        <v>392396</v>
      </c>
      <c r="AC169" s="4">
        <v>392394</v>
      </c>
      <c r="AD169" s="4">
        <v>395083</v>
      </c>
      <c r="AE169" s="4">
        <v>790166</v>
      </c>
      <c r="AF169" s="4">
        <v>1185249</v>
      </c>
      <c r="AG169" s="4">
        <v>1580332</v>
      </c>
      <c r="AH169" s="4">
        <v>1972728</v>
      </c>
      <c r="AI169" s="4">
        <v>2365124</v>
      </c>
      <c r="AJ169" s="4">
        <v>2757520</v>
      </c>
      <c r="AK169" s="4">
        <v>3149916</v>
      </c>
      <c r="AL169" s="4">
        <v>3542312</v>
      </c>
      <c r="AM169" s="4">
        <v>3934706</v>
      </c>
      <c r="AN169" s="154">
        <v>277434</v>
      </c>
    </row>
    <row r="170" spans="1:40" x14ac:dyDescent="0.2">
      <c r="A170" s="1">
        <v>2019</v>
      </c>
      <c r="B170" s="2" t="s">
        <v>190</v>
      </c>
      <c r="C170" s="2" t="s">
        <v>190</v>
      </c>
      <c r="D170" s="1" t="s">
        <v>541</v>
      </c>
      <c r="E170" s="3">
        <v>3475412</v>
      </c>
      <c r="F170" s="3">
        <v>614</v>
      </c>
      <c r="G170" s="3">
        <v>14088</v>
      </c>
      <c r="H170" s="1">
        <v>0</v>
      </c>
      <c r="I170" s="3">
        <v>3474798</v>
      </c>
      <c r="J170" s="3">
        <v>3460710</v>
      </c>
      <c r="K170" s="3">
        <v>3460710</v>
      </c>
      <c r="L170" s="3">
        <v>124002</v>
      </c>
      <c r="M170" s="3">
        <v>329444</v>
      </c>
      <c r="N170" s="3">
        <v>37354</v>
      </c>
      <c r="O170" s="3">
        <v>36733</v>
      </c>
      <c r="P170" s="3">
        <v>184146</v>
      </c>
      <c r="Q170" s="3">
        <v>2763119</v>
      </c>
      <c r="R170" s="3">
        <v>2749031</v>
      </c>
      <c r="S170" s="3">
        <v>2749031</v>
      </c>
      <c r="T170" s="3">
        <v>347480</v>
      </c>
      <c r="U170" s="3">
        <v>347480</v>
      </c>
      <c r="V170" s="3">
        <v>347480</v>
      </c>
      <c r="W170" s="3">
        <v>347480</v>
      </c>
      <c r="X170" s="3">
        <v>345132</v>
      </c>
      <c r="Y170" s="3">
        <v>345132</v>
      </c>
      <c r="Z170" s="4">
        <v>345132</v>
      </c>
      <c r="AA170" s="4">
        <v>345132</v>
      </c>
      <c r="AB170" s="4">
        <v>345132</v>
      </c>
      <c r="AC170" s="4">
        <v>345130</v>
      </c>
      <c r="AD170" s="4">
        <v>347480</v>
      </c>
      <c r="AE170" s="4">
        <v>694960</v>
      </c>
      <c r="AF170" s="4">
        <v>1042440</v>
      </c>
      <c r="AG170" s="4">
        <v>1389920</v>
      </c>
      <c r="AH170" s="4">
        <v>1735052</v>
      </c>
      <c r="AI170" s="4">
        <v>2080184</v>
      </c>
      <c r="AJ170" s="4">
        <v>2425316</v>
      </c>
      <c r="AK170" s="4">
        <v>2770448</v>
      </c>
      <c r="AL170" s="4">
        <v>3115580</v>
      </c>
      <c r="AM170" s="4">
        <v>3460710</v>
      </c>
      <c r="AN170" s="154">
        <v>240581</v>
      </c>
    </row>
    <row r="171" spans="1:40" x14ac:dyDescent="0.2">
      <c r="A171" s="1">
        <v>2019</v>
      </c>
      <c r="B171" s="2" t="s">
        <v>191</v>
      </c>
      <c r="C171" s="2" t="s">
        <v>191</v>
      </c>
      <c r="D171" s="1" t="s">
        <v>542</v>
      </c>
      <c r="E171" s="3">
        <v>2042226</v>
      </c>
      <c r="F171" s="1">
        <v>498</v>
      </c>
      <c r="G171" s="3">
        <v>9145</v>
      </c>
      <c r="H171" s="1">
        <v>0</v>
      </c>
      <c r="I171" s="3">
        <v>2041728</v>
      </c>
      <c r="J171" s="3">
        <v>2032583</v>
      </c>
      <c r="K171" s="3">
        <v>2032583</v>
      </c>
      <c r="L171" s="3">
        <v>100542</v>
      </c>
      <c r="M171" s="3">
        <v>239374</v>
      </c>
      <c r="N171" s="3">
        <v>27058</v>
      </c>
      <c r="O171" s="3">
        <v>24653</v>
      </c>
      <c r="P171" s="3">
        <v>119532</v>
      </c>
      <c r="Q171" s="3">
        <v>1530569</v>
      </c>
      <c r="R171" s="3">
        <v>1521424</v>
      </c>
      <c r="S171" s="3">
        <v>1521424</v>
      </c>
      <c r="T171" s="3">
        <v>204173</v>
      </c>
      <c r="U171" s="3">
        <v>204173</v>
      </c>
      <c r="V171" s="3">
        <v>204173</v>
      </c>
      <c r="W171" s="3">
        <v>204173</v>
      </c>
      <c r="X171" s="3">
        <v>202649</v>
      </c>
      <c r="Y171" s="3">
        <v>202649</v>
      </c>
      <c r="Z171" s="4">
        <v>202648</v>
      </c>
      <c r="AA171" s="4">
        <v>202648</v>
      </c>
      <c r="AB171" s="4">
        <v>202648</v>
      </c>
      <c r="AC171" s="4">
        <v>202649</v>
      </c>
      <c r="AD171" s="4">
        <v>204173</v>
      </c>
      <c r="AE171" s="4">
        <v>408346</v>
      </c>
      <c r="AF171" s="4">
        <v>612519</v>
      </c>
      <c r="AG171" s="4">
        <v>816692</v>
      </c>
      <c r="AH171" s="4">
        <v>1019341</v>
      </c>
      <c r="AI171" s="4">
        <v>1221990</v>
      </c>
      <c r="AJ171" s="4">
        <v>1424638</v>
      </c>
      <c r="AK171" s="4">
        <v>1627286</v>
      </c>
      <c r="AL171" s="4">
        <v>1829934</v>
      </c>
      <c r="AM171" s="4">
        <v>2032583</v>
      </c>
      <c r="AN171" s="154">
        <v>165148</v>
      </c>
    </row>
    <row r="172" spans="1:40" x14ac:dyDescent="0.2">
      <c r="A172" s="1">
        <v>2019</v>
      </c>
      <c r="B172" s="2" t="s">
        <v>192</v>
      </c>
      <c r="C172" s="2" t="s">
        <v>192</v>
      </c>
      <c r="D172" s="1" t="s">
        <v>543</v>
      </c>
      <c r="E172" s="3">
        <v>4524854</v>
      </c>
      <c r="F172" s="1">
        <v>846</v>
      </c>
      <c r="G172" s="3">
        <v>18484</v>
      </c>
      <c r="H172" s="1">
        <v>0</v>
      </c>
      <c r="I172" s="3">
        <v>4524008</v>
      </c>
      <c r="J172" s="3">
        <v>4505524</v>
      </c>
      <c r="K172" s="3">
        <v>4505524</v>
      </c>
      <c r="L172" s="3">
        <v>170922</v>
      </c>
      <c r="M172" s="3">
        <v>465630</v>
      </c>
      <c r="N172" s="3">
        <v>49284</v>
      </c>
      <c r="O172" s="3">
        <v>53916</v>
      </c>
      <c r="P172" s="3">
        <v>241610</v>
      </c>
      <c r="Q172" s="3">
        <v>3542646</v>
      </c>
      <c r="R172" s="3">
        <v>3524162</v>
      </c>
      <c r="S172" s="3">
        <v>3524162</v>
      </c>
      <c r="T172" s="3">
        <v>452401</v>
      </c>
      <c r="U172" s="3">
        <v>452401</v>
      </c>
      <c r="V172" s="3">
        <v>452401</v>
      </c>
      <c r="W172" s="3">
        <v>452401</v>
      </c>
      <c r="X172" s="3">
        <v>449320</v>
      </c>
      <c r="Y172" s="3">
        <v>449320</v>
      </c>
      <c r="Z172" s="4">
        <v>449320</v>
      </c>
      <c r="AA172" s="4">
        <v>449320</v>
      </c>
      <c r="AB172" s="4">
        <v>449320</v>
      </c>
      <c r="AC172" s="4">
        <v>449320</v>
      </c>
      <c r="AD172" s="4">
        <v>452401</v>
      </c>
      <c r="AE172" s="4">
        <v>904802</v>
      </c>
      <c r="AF172" s="4">
        <v>1357203</v>
      </c>
      <c r="AG172" s="4">
        <v>1809604</v>
      </c>
      <c r="AH172" s="4">
        <v>2258924</v>
      </c>
      <c r="AI172" s="4">
        <v>2708244</v>
      </c>
      <c r="AJ172" s="4">
        <v>3157564</v>
      </c>
      <c r="AK172" s="4">
        <v>3606884</v>
      </c>
      <c r="AL172" s="4">
        <v>4056204</v>
      </c>
      <c r="AM172" s="4">
        <v>4505524</v>
      </c>
      <c r="AN172" s="154">
        <v>324579</v>
      </c>
    </row>
    <row r="173" spans="1:40" x14ac:dyDescent="0.2">
      <c r="A173" s="1">
        <v>2019</v>
      </c>
      <c r="B173" s="2" t="s">
        <v>193</v>
      </c>
      <c r="C173" s="2" t="s">
        <v>193</v>
      </c>
      <c r="D173" s="1" t="s">
        <v>544</v>
      </c>
      <c r="E173" s="3">
        <v>485566</v>
      </c>
      <c r="F173" s="1">
        <v>66</v>
      </c>
      <c r="G173" s="3">
        <v>4127</v>
      </c>
      <c r="H173" s="1">
        <v>0</v>
      </c>
      <c r="I173" s="3">
        <v>485500</v>
      </c>
      <c r="J173" s="3">
        <v>481373</v>
      </c>
      <c r="K173" s="3">
        <v>481373</v>
      </c>
      <c r="L173" s="3">
        <v>13406</v>
      </c>
      <c r="M173" s="3">
        <v>109093</v>
      </c>
      <c r="N173" s="3">
        <v>1997</v>
      </c>
      <c r="O173" s="3">
        <v>11602</v>
      </c>
      <c r="P173" s="3">
        <v>53938</v>
      </c>
      <c r="Q173" s="3">
        <v>295464</v>
      </c>
      <c r="R173" s="3">
        <v>291337</v>
      </c>
      <c r="S173" s="3">
        <v>291337</v>
      </c>
      <c r="T173" s="3">
        <v>48550</v>
      </c>
      <c r="U173" s="3">
        <v>48550</v>
      </c>
      <c r="V173" s="3">
        <v>48550</v>
      </c>
      <c r="W173" s="3">
        <v>48550</v>
      </c>
      <c r="X173" s="3">
        <v>47862</v>
      </c>
      <c r="Y173" s="3">
        <v>47862</v>
      </c>
      <c r="Z173" s="4">
        <v>47862</v>
      </c>
      <c r="AA173" s="4">
        <v>47862</v>
      </c>
      <c r="AB173" s="4">
        <v>47862</v>
      </c>
      <c r="AC173" s="4">
        <v>47863</v>
      </c>
      <c r="AD173" s="4">
        <v>48550</v>
      </c>
      <c r="AE173" s="4">
        <v>97100</v>
      </c>
      <c r="AF173" s="4">
        <v>145650</v>
      </c>
      <c r="AG173" s="4">
        <v>194200</v>
      </c>
      <c r="AH173" s="4">
        <v>242062</v>
      </c>
      <c r="AI173" s="4">
        <v>289924</v>
      </c>
      <c r="AJ173" s="4">
        <v>337786</v>
      </c>
      <c r="AK173" s="4">
        <v>385648</v>
      </c>
      <c r="AL173" s="4">
        <v>433510</v>
      </c>
      <c r="AM173" s="4">
        <v>481373</v>
      </c>
      <c r="AN173" s="154">
        <v>71764</v>
      </c>
    </row>
    <row r="174" spans="1:40" x14ac:dyDescent="0.2">
      <c r="A174" s="1">
        <v>2019</v>
      </c>
      <c r="B174" s="2" t="s">
        <v>194</v>
      </c>
      <c r="C174" s="2" t="s">
        <v>194</v>
      </c>
      <c r="D174" s="1" t="s">
        <v>545</v>
      </c>
      <c r="E174" s="3">
        <v>2667254</v>
      </c>
      <c r="F174" s="1">
        <v>746</v>
      </c>
      <c r="G174" s="3">
        <v>11555</v>
      </c>
      <c r="H174" s="1">
        <v>0</v>
      </c>
      <c r="I174" s="3">
        <v>2666508</v>
      </c>
      <c r="J174" s="3">
        <v>2654953</v>
      </c>
      <c r="K174" s="3">
        <v>2654953</v>
      </c>
      <c r="L174" s="3">
        <v>150814</v>
      </c>
      <c r="M174" s="3">
        <v>273919</v>
      </c>
      <c r="N174" s="3">
        <v>27700</v>
      </c>
      <c r="O174" s="3">
        <v>27469</v>
      </c>
      <c r="P174" s="3">
        <v>151039</v>
      </c>
      <c r="Q174" s="3">
        <v>2035567</v>
      </c>
      <c r="R174" s="3">
        <v>2024012</v>
      </c>
      <c r="S174" s="3">
        <v>2024012</v>
      </c>
      <c r="T174" s="3">
        <v>266651</v>
      </c>
      <c r="U174" s="3">
        <v>266651</v>
      </c>
      <c r="V174" s="3">
        <v>266651</v>
      </c>
      <c r="W174" s="3">
        <v>266651</v>
      </c>
      <c r="X174" s="3">
        <v>264725</v>
      </c>
      <c r="Y174" s="3">
        <v>264725</v>
      </c>
      <c r="Z174" s="4">
        <v>264725</v>
      </c>
      <c r="AA174" s="4">
        <v>264725</v>
      </c>
      <c r="AB174" s="4">
        <v>264725</v>
      </c>
      <c r="AC174" s="4">
        <v>264724</v>
      </c>
      <c r="AD174" s="4">
        <v>266651</v>
      </c>
      <c r="AE174" s="4">
        <v>533302</v>
      </c>
      <c r="AF174" s="4">
        <v>799953</v>
      </c>
      <c r="AG174" s="4">
        <v>1066604</v>
      </c>
      <c r="AH174" s="4">
        <v>1331329</v>
      </c>
      <c r="AI174" s="4">
        <v>1596054</v>
      </c>
      <c r="AJ174" s="4">
        <v>1860779</v>
      </c>
      <c r="AK174" s="4">
        <v>2125504</v>
      </c>
      <c r="AL174" s="4">
        <v>2390229</v>
      </c>
      <c r="AM174" s="4">
        <v>2654953</v>
      </c>
      <c r="AN174" s="154">
        <v>197354</v>
      </c>
    </row>
    <row r="175" spans="1:40" x14ac:dyDescent="0.2">
      <c r="A175" s="1">
        <v>2019</v>
      </c>
      <c r="B175" s="2" t="s">
        <v>195</v>
      </c>
      <c r="C175" s="2" t="s">
        <v>195</v>
      </c>
      <c r="D175" s="1" t="s">
        <v>546</v>
      </c>
      <c r="E175" s="3">
        <v>4688198</v>
      </c>
      <c r="F175" s="1">
        <v>680</v>
      </c>
      <c r="G175" s="3">
        <v>17078</v>
      </c>
      <c r="H175" s="1">
        <v>0</v>
      </c>
      <c r="I175" s="3">
        <v>4687518</v>
      </c>
      <c r="J175" s="3">
        <v>4670440</v>
      </c>
      <c r="K175" s="3">
        <v>4670440</v>
      </c>
      <c r="L175" s="3">
        <v>137408</v>
      </c>
      <c r="M175" s="3">
        <v>390605</v>
      </c>
      <c r="N175" s="3">
        <v>47004</v>
      </c>
      <c r="O175" s="3">
        <v>43025</v>
      </c>
      <c r="P175" s="3">
        <v>223228</v>
      </c>
      <c r="Q175" s="3">
        <v>3846248</v>
      </c>
      <c r="R175" s="3">
        <v>3829170</v>
      </c>
      <c r="S175" s="3">
        <v>3829170</v>
      </c>
      <c r="T175" s="3">
        <v>468752</v>
      </c>
      <c r="U175" s="3">
        <v>468752</v>
      </c>
      <c r="V175" s="3">
        <v>468752</v>
      </c>
      <c r="W175" s="3">
        <v>468752</v>
      </c>
      <c r="X175" s="3">
        <v>465905</v>
      </c>
      <c r="Y175" s="3">
        <v>465905</v>
      </c>
      <c r="Z175" s="4">
        <v>465906</v>
      </c>
      <c r="AA175" s="4">
        <v>465906</v>
      </c>
      <c r="AB175" s="4">
        <v>465906</v>
      </c>
      <c r="AC175" s="4">
        <v>465904</v>
      </c>
      <c r="AD175" s="4">
        <v>468752</v>
      </c>
      <c r="AE175" s="4">
        <v>937504</v>
      </c>
      <c r="AF175" s="4">
        <v>1406256</v>
      </c>
      <c r="AG175" s="4">
        <v>1875008</v>
      </c>
      <c r="AH175" s="4">
        <v>2340913</v>
      </c>
      <c r="AI175" s="4">
        <v>2806818</v>
      </c>
      <c r="AJ175" s="4">
        <v>3272724</v>
      </c>
      <c r="AK175" s="4">
        <v>3738630</v>
      </c>
      <c r="AL175" s="4">
        <v>4204536</v>
      </c>
      <c r="AM175" s="4">
        <v>4670440</v>
      </c>
      <c r="AN175" s="154">
        <v>293241</v>
      </c>
    </row>
    <row r="176" spans="1:40" x14ac:dyDescent="0.2">
      <c r="A176" s="1">
        <v>2019</v>
      </c>
      <c r="B176" s="2" t="s">
        <v>196</v>
      </c>
      <c r="C176" s="2" t="s">
        <v>196</v>
      </c>
      <c r="D176" s="1" t="s">
        <v>547</v>
      </c>
      <c r="E176" s="3">
        <v>2803608</v>
      </c>
      <c r="F176" s="3">
        <v>431</v>
      </c>
      <c r="G176" s="3">
        <v>13653</v>
      </c>
      <c r="H176" s="1">
        <v>0</v>
      </c>
      <c r="I176" s="3">
        <v>2803177</v>
      </c>
      <c r="J176" s="3">
        <v>2789524</v>
      </c>
      <c r="K176" s="3">
        <v>2789524</v>
      </c>
      <c r="L176" s="3">
        <v>87137</v>
      </c>
      <c r="M176" s="3">
        <v>347534</v>
      </c>
      <c r="N176" s="3">
        <v>34840</v>
      </c>
      <c r="O176" s="3">
        <v>38683</v>
      </c>
      <c r="P176" s="3">
        <v>178465</v>
      </c>
      <c r="Q176" s="3">
        <v>2116518</v>
      </c>
      <c r="R176" s="3">
        <v>2102865</v>
      </c>
      <c r="S176" s="3">
        <v>2102865</v>
      </c>
      <c r="T176" s="3">
        <v>280318</v>
      </c>
      <c r="U176" s="3">
        <v>280318</v>
      </c>
      <c r="V176" s="3">
        <v>280318</v>
      </c>
      <c r="W176" s="3">
        <v>280318</v>
      </c>
      <c r="X176" s="3">
        <v>278042</v>
      </c>
      <c r="Y176" s="3">
        <v>278042</v>
      </c>
      <c r="Z176" s="4">
        <v>278042</v>
      </c>
      <c r="AA176" s="4">
        <v>278042</v>
      </c>
      <c r="AB176" s="4">
        <v>278042</v>
      </c>
      <c r="AC176" s="4">
        <v>278042</v>
      </c>
      <c r="AD176" s="4">
        <v>280318</v>
      </c>
      <c r="AE176" s="4">
        <v>560636</v>
      </c>
      <c r="AF176" s="4">
        <v>840954</v>
      </c>
      <c r="AG176" s="4">
        <v>1121272</v>
      </c>
      <c r="AH176" s="4">
        <v>1399314</v>
      </c>
      <c r="AI176" s="4">
        <v>1677356</v>
      </c>
      <c r="AJ176" s="4">
        <v>1955398</v>
      </c>
      <c r="AK176" s="4">
        <v>2233440</v>
      </c>
      <c r="AL176" s="4">
        <v>2511482</v>
      </c>
      <c r="AM176" s="4">
        <v>2789524</v>
      </c>
      <c r="AN176" s="154">
        <v>238859</v>
      </c>
    </row>
    <row r="177" spans="1:40" x14ac:dyDescent="0.2">
      <c r="A177" s="1">
        <v>2019</v>
      </c>
      <c r="B177" s="2" t="s">
        <v>197</v>
      </c>
      <c r="C177" s="2" t="s">
        <v>197</v>
      </c>
      <c r="D177" s="1" t="s">
        <v>548</v>
      </c>
      <c r="E177" s="3">
        <v>3164161</v>
      </c>
      <c r="F177" s="3">
        <v>779</v>
      </c>
      <c r="G177" s="3">
        <v>16436</v>
      </c>
      <c r="H177" s="1">
        <v>0</v>
      </c>
      <c r="I177" s="3">
        <v>3163382</v>
      </c>
      <c r="J177" s="3">
        <v>3146946</v>
      </c>
      <c r="K177" s="3">
        <v>3146946</v>
      </c>
      <c r="L177" s="3">
        <v>157517</v>
      </c>
      <c r="M177" s="3">
        <v>402953</v>
      </c>
      <c r="N177" s="3">
        <v>35196</v>
      </c>
      <c r="O177" s="3">
        <v>43718</v>
      </c>
      <c r="P177" s="3">
        <v>214837</v>
      </c>
      <c r="Q177" s="3">
        <v>2309161</v>
      </c>
      <c r="R177" s="3">
        <v>2292725</v>
      </c>
      <c r="S177" s="3">
        <v>2292725</v>
      </c>
      <c r="T177" s="3">
        <v>316338</v>
      </c>
      <c r="U177" s="3">
        <v>316338</v>
      </c>
      <c r="V177" s="3">
        <v>316338</v>
      </c>
      <c r="W177" s="3">
        <v>316338</v>
      </c>
      <c r="X177" s="3">
        <v>313599</v>
      </c>
      <c r="Y177" s="3">
        <v>313599</v>
      </c>
      <c r="Z177" s="4">
        <v>313599</v>
      </c>
      <c r="AA177" s="4">
        <v>313599</v>
      </c>
      <c r="AB177" s="4">
        <v>313599</v>
      </c>
      <c r="AC177" s="4">
        <v>313599</v>
      </c>
      <c r="AD177" s="4">
        <v>316338</v>
      </c>
      <c r="AE177" s="4">
        <v>632676</v>
      </c>
      <c r="AF177" s="4">
        <v>949014</v>
      </c>
      <c r="AG177" s="4">
        <v>1265352</v>
      </c>
      <c r="AH177" s="4">
        <v>1578951</v>
      </c>
      <c r="AI177" s="4">
        <v>1892550</v>
      </c>
      <c r="AJ177" s="4">
        <v>2206149</v>
      </c>
      <c r="AK177" s="4">
        <v>2519748</v>
      </c>
      <c r="AL177" s="4">
        <v>2833347</v>
      </c>
      <c r="AM177" s="4">
        <v>3146946</v>
      </c>
      <c r="AN177" s="154">
        <v>293861</v>
      </c>
    </row>
    <row r="178" spans="1:40" x14ac:dyDescent="0.2">
      <c r="A178" s="1">
        <v>2019</v>
      </c>
      <c r="B178" s="2" t="s">
        <v>198</v>
      </c>
      <c r="C178" s="2" t="s">
        <v>198</v>
      </c>
      <c r="D178" s="1" t="s">
        <v>549</v>
      </c>
      <c r="E178" s="3">
        <v>3659758</v>
      </c>
      <c r="F178" s="1">
        <v>498</v>
      </c>
      <c r="G178" s="3">
        <v>16351</v>
      </c>
      <c r="H178" s="1">
        <v>0</v>
      </c>
      <c r="I178" s="3">
        <v>3659260</v>
      </c>
      <c r="J178" s="3">
        <v>3642909</v>
      </c>
      <c r="K178" s="3">
        <v>3642909</v>
      </c>
      <c r="L178" s="3">
        <v>100542</v>
      </c>
      <c r="M178" s="3">
        <v>397809</v>
      </c>
      <c r="N178" s="3">
        <v>39555</v>
      </c>
      <c r="O178" s="3">
        <v>41647</v>
      </c>
      <c r="P178" s="3">
        <v>219630</v>
      </c>
      <c r="Q178" s="3">
        <v>2860077</v>
      </c>
      <c r="R178" s="3">
        <v>2843726</v>
      </c>
      <c r="S178" s="3">
        <v>2843726</v>
      </c>
      <c r="T178" s="3">
        <v>365926</v>
      </c>
      <c r="U178" s="3">
        <v>365926</v>
      </c>
      <c r="V178" s="3">
        <v>365926</v>
      </c>
      <c r="W178" s="3">
        <v>365926</v>
      </c>
      <c r="X178" s="3">
        <v>363201</v>
      </c>
      <c r="Y178" s="3">
        <v>363201</v>
      </c>
      <c r="Z178" s="4">
        <v>363201</v>
      </c>
      <c r="AA178" s="4">
        <v>363201</v>
      </c>
      <c r="AB178" s="4">
        <v>363201</v>
      </c>
      <c r="AC178" s="4">
        <v>363200</v>
      </c>
      <c r="AD178" s="4">
        <v>365926</v>
      </c>
      <c r="AE178" s="4">
        <v>731852</v>
      </c>
      <c r="AF178" s="4">
        <v>1097778</v>
      </c>
      <c r="AG178" s="4">
        <v>1463704</v>
      </c>
      <c r="AH178" s="4">
        <v>1826905</v>
      </c>
      <c r="AI178" s="4">
        <v>2190106</v>
      </c>
      <c r="AJ178" s="4">
        <v>2553307</v>
      </c>
      <c r="AK178" s="4">
        <v>2916508</v>
      </c>
      <c r="AL178" s="4">
        <v>3279709</v>
      </c>
      <c r="AM178" s="4">
        <v>3642909</v>
      </c>
      <c r="AN178" s="154">
        <v>299109</v>
      </c>
    </row>
    <row r="179" spans="1:40" x14ac:dyDescent="0.2">
      <c r="A179" s="1">
        <v>2019</v>
      </c>
      <c r="B179" s="2" t="s">
        <v>199</v>
      </c>
      <c r="C179" s="2" t="s">
        <v>199</v>
      </c>
      <c r="D179" s="1" t="s">
        <v>550</v>
      </c>
      <c r="E179" s="3">
        <v>9139878</v>
      </c>
      <c r="F179" s="3">
        <v>896</v>
      </c>
      <c r="G179" s="3">
        <v>33359</v>
      </c>
      <c r="H179" s="3">
        <v>0</v>
      </c>
      <c r="I179" s="3">
        <v>9138982</v>
      </c>
      <c r="J179" s="3">
        <v>9105623</v>
      </c>
      <c r="K179" s="3">
        <v>9105623</v>
      </c>
      <c r="L179" s="3">
        <v>180976</v>
      </c>
      <c r="M179" s="3">
        <v>825831</v>
      </c>
      <c r="N179" s="3">
        <v>99072</v>
      </c>
      <c r="O179" s="3">
        <v>96536</v>
      </c>
      <c r="P179" s="3">
        <v>440779</v>
      </c>
      <c r="Q179" s="3">
        <v>7495788</v>
      </c>
      <c r="R179" s="3">
        <v>7462429</v>
      </c>
      <c r="S179" s="3">
        <v>7462429</v>
      </c>
      <c r="T179" s="3">
        <v>913898</v>
      </c>
      <c r="U179" s="3">
        <v>913898</v>
      </c>
      <c r="V179" s="3">
        <v>913898</v>
      </c>
      <c r="W179" s="3">
        <v>913898</v>
      </c>
      <c r="X179" s="3">
        <v>908339</v>
      </c>
      <c r="Y179" s="3">
        <v>908339</v>
      </c>
      <c r="Z179" s="4">
        <v>908338</v>
      </c>
      <c r="AA179" s="4">
        <v>908338</v>
      </c>
      <c r="AB179" s="4">
        <v>908338</v>
      </c>
      <c r="AC179" s="4">
        <v>908339</v>
      </c>
      <c r="AD179" s="4">
        <v>913898</v>
      </c>
      <c r="AE179" s="4">
        <v>1827796</v>
      </c>
      <c r="AF179" s="4">
        <v>2741694</v>
      </c>
      <c r="AG179" s="4">
        <v>3655592</v>
      </c>
      <c r="AH179" s="4">
        <v>4563931</v>
      </c>
      <c r="AI179" s="4">
        <v>5472270</v>
      </c>
      <c r="AJ179" s="4">
        <v>6380608</v>
      </c>
      <c r="AK179" s="4">
        <v>7288946</v>
      </c>
      <c r="AL179" s="4">
        <v>8197284</v>
      </c>
      <c r="AM179" s="4">
        <v>9105623</v>
      </c>
      <c r="AN179" s="154">
        <v>633772</v>
      </c>
    </row>
    <row r="180" spans="1:40" x14ac:dyDescent="0.2">
      <c r="A180" s="1">
        <v>2019</v>
      </c>
      <c r="B180" s="2" t="s">
        <v>200</v>
      </c>
      <c r="C180" s="2" t="s">
        <v>200</v>
      </c>
      <c r="D180" s="1" t="s">
        <v>551</v>
      </c>
      <c r="E180" s="3">
        <v>3331895</v>
      </c>
      <c r="F180" s="1">
        <v>614</v>
      </c>
      <c r="G180" s="3">
        <v>16796</v>
      </c>
      <c r="H180" s="1">
        <v>0</v>
      </c>
      <c r="I180" s="3">
        <v>3331281</v>
      </c>
      <c r="J180" s="3">
        <v>3314485</v>
      </c>
      <c r="K180" s="3">
        <v>3314485</v>
      </c>
      <c r="L180" s="3">
        <v>124002</v>
      </c>
      <c r="M180" s="3">
        <v>410017</v>
      </c>
      <c r="N180" s="3">
        <v>43985</v>
      </c>
      <c r="O180" s="3">
        <v>45200</v>
      </c>
      <c r="P180" s="3">
        <v>225772</v>
      </c>
      <c r="Q180" s="3">
        <v>2482305</v>
      </c>
      <c r="R180" s="3">
        <v>2465509</v>
      </c>
      <c r="S180" s="3">
        <v>2465509</v>
      </c>
      <c r="T180" s="3">
        <v>333128</v>
      </c>
      <c r="U180" s="3">
        <v>333128</v>
      </c>
      <c r="V180" s="3">
        <v>333128</v>
      </c>
      <c r="W180" s="3">
        <v>333128</v>
      </c>
      <c r="X180" s="3">
        <v>330329</v>
      </c>
      <c r="Y180" s="3">
        <v>330329</v>
      </c>
      <c r="Z180" s="4">
        <v>330329</v>
      </c>
      <c r="AA180" s="4">
        <v>330329</v>
      </c>
      <c r="AB180" s="4">
        <v>330329</v>
      </c>
      <c r="AC180" s="4">
        <v>330328</v>
      </c>
      <c r="AD180" s="4">
        <v>333128</v>
      </c>
      <c r="AE180" s="4">
        <v>666256</v>
      </c>
      <c r="AF180" s="4">
        <v>999384</v>
      </c>
      <c r="AG180" s="4">
        <v>1332512</v>
      </c>
      <c r="AH180" s="4">
        <v>1662841</v>
      </c>
      <c r="AI180" s="4">
        <v>1993170</v>
      </c>
      <c r="AJ180" s="4">
        <v>2323499</v>
      </c>
      <c r="AK180" s="4">
        <v>2653828</v>
      </c>
      <c r="AL180" s="4">
        <v>2984157</v>
      </c>
      <c r="AM180" s="4">
        <v>3314485</v>
      </c>
      <c r="AN180" s="154">
        <v>296170</v>
      </c>
    </row>
    <row r="181" spans="1:40" x14ac:dyDescent="0.2">
      <c r="A181" s="1">
        <v>2019</v>
      </c>
      <c r="B181" s="2" t="s">
        <v>201</v>
      </c>
      <c r="C181" s="2" t="s">
        <v>201</v>
      </c>
      <c r="D181" s="1" t="s">
        <v>552</v>
      </c>
      <c r="E181" s="3">
        <v>1730418</v>
      </c>
      <c r="F181" s="3">
        <v>498</v>
      </c>
      <c r="G181" s="3">
        <v>10604</v>
      </c>
      <c r="H181" s="1">
        <v>0</v>
      </c>
      <c r="I181" s="3">
        <v>1729920</v>
      </c>
      <c r="J181" s="3">
        <v>1719316</v>
      </c>
      <c r="K181" s="3">
        <v>1719316</v>
      </c>
      <c r="L181" s="3">
        <v>100542</v>
      </c>
      <c r="M181" s="3">
        <v>264052</v>
      </c>
      <c r="N181" s="3">
        <v>21459</v>
      </c>
      <c r="O181" s="3">
        <v>27907</v>
      </c>
      <c r="P181" s="3">
        <v>139329</v>
      </c>
      <c r="Q181" s="3">
        <v>1176631</v>
      </c>
      <c r="R181" s="3">
        <v>1166027</v>
      </c>
      <c r="S181" s="3">
        <v>1166027</v>
      </c>
      <c r="T181" s="3">
        <v>172992</v>
      </c>
      <c r="U181" s="3">
        <v>172992</v>
      </c>
      <c r="V181" s="3">
        <v>172992</v>
      </c>
      <c r="W181" s="3">
        <v>172992</v>
      </c>
      <c r="X181" s="3">
        <v>171225</v>
      </c>
      <c r="Y181" s="3">
        <v>171225</v>
      </c>
      <c r="Z181" s="4">
        <v>171225</v>
      </c>
      <c r="AA181" s="4">
        <v>171225</v>
      </c>
      <c r="AB181" s="4">
        <v>171225</v>
      </c>
      <c r="AC181" s="4">
        <v>171223</v>
      </c>
      <c r="AD181" s="4">
        <v>172992</v>
      </c>
      <c r="AE181" s="4">
        <v>345984</v>
      </c>
      <c r="AF181" s="4">
        <v>518976</v>
      </c>
      <c r="AG181" s="4">
        <v>691968</v>
      </c>
      <c r="AH181" s="4">
        <v>863193</v>
      </c>
      <c r="AI181" s="4">
        <v>1034418</v>
      </c>
      <c r="AJ181" s="4">
        <v>1205643</v>
      </c>
      <c r="AK181" s="4">
        <v>1376868</v>
      </c>
      <c r="AL181" s="4">
        <v>1548093</v>
      </c>
      <c r="AM181" s="4">
        <v>1719316</v>
      </c>
      <c r="AN181" s="154">
        <v>187573</v>
      </c>
    </row>
    <row r="182" spans="1:40" x14ac:dyDescent="0.2">
      <c r="A182" s="1">
        <v>2019</v>
      </c>
      <c r="B182" s="2" t="s">
        <v>202</v>
      </c>
      <c r="C182" s="2" t="s">
        <v>202</v>
      </c>
      <c r="D182" s="1" t="s">
        <v>553</v>
      </c>
      <c r="E182" s="3">
        <v>12852498</v>
      </c>
      <c r="F182" s="3">
        <v>1692</v>
      </c>
      <c r="G182" s="3">
        <v>47912</v>
      </c>
      <c r="H182" s="1">
        <v>0</v>
      </c>
      <c r="I182" s="3">
        <v>12850806</v>
      </c>
      <c r="J182" s="3">
        <v>12802894</v>
      </c>
      <c r="K182" s="3">
        <v>12802894</v>
      </c>
      <c r="L182" s="3">
        <v>341844</v>
      </c>
      <c r="M182" s="3">
        <v>1149824</v>
      </c>
      <c r="N182" s="3">
        <v>140884</v>
      </c>
      <c r="O182" s="3">
        <v>138295</v>
      </c>
      <c r="P182" s="3">
        <v>626260</v>
      </c>
      <c r="Q182" s="3">
        <v>10453699</v>
      </c>
      <c r="R182" s="3">
        <v>10405787</v>
      </c>
      <c r="S182" s="3">
        <v>10405787</v>
      </c>
      <c r="T182" s="3">
        <v>1285081</v>
      </c>
      <c r="U182" s="3">
        <v>1285081</v>
      </c>
      <c r="V182" s="3">
        <v>1285081</v>
      </c>
      <c r="W182" s="3">
        <v>1285081</v>
      </c>
      <c r="X182" s="3">
        <v>1277095</v>
      </c>
      <c r="Y182" s="3">
        <v>1277095</v>
      </c>
      <c r="Z182" s="4">
        <v>1277095</v>
      </c>
      <c r="AA182" s="4">
        <v>1277095</v>
      </c>
      <c r="AB182" s="4">
        <v>1277095</v>
      </c>
      <c r="AC182" s="4">
        <v>1277095</v>
      </c>
      <c r="AD182" s="4">
        <v>1285081</v>
      </c>
      <c r="AE182" s="4">
        <v>2570162</v>
      </c>
      <c r="AF182" s="4">
        <v>3855243</v>
      </c>
      <c r="AG182" s="4">
        <v>5140324</v>
      </c>
      <c r="AH182" s="4">
        <v>6417419</v>
      </c>
      <c r="AI182" s="4">
        <v>7694514</v>
      </c>
      <c r="AJ182" s="4">
        <v>8971609</v>
      </c>
      <c r="AK182" s="4">
        <v>10248704</v>
      </c>
      <c r="AL182" s="4">
        <v>11525799</v>
      </c>
      <c r="AM182" s="4">
        <v>12802894</v>
      </c>
      <c r="AN182" s="154">
        <v>845983</v>
      </c>
    </row>
    <row r="183" spans="1:40" x14ac:dyDescent="0.2">
      <c r="A183" s="1">
        <v>2019</v>
      </c>
      <c r="B183" s="2" t="s">
        <v>203</v>
      </c>
      <c r="C183" s="2" t="s">
        <v>203</v>
      </c>
      <c r="D183" s="1" t="s">
        <v>554</v>
      </c>
      <c r="E183" s="3">
        <v>39817888</v>
      </c>
      <c r="F183" s="3">
        <v>4163</v>
      </c>
      <c r="G183" s="3">
        <v>136344</v>
      </c>
      <c r="H183" s="1">
        <v>0</v>
      </c>
      <c r="I183" s="3">
        <v>39813725</v>
      </c>
      <c r="J183" s="3">
        <v>39677381</v>
      </c>
      <c r="K183" s="3">
        <v>39677381</v>
      </c>
      <c r="L183" s="3">
        <v>841205</v>
      </c>
      <c r="M183" s="3">
        <v>3065492</v>
      </c>
      <c r="N183" s="3">
        <v>475809</v>
      </c>
      <c r="O183" s="3">
        <v>343279</v>
      </c>
      <c r="P183" s="3">
        <v>1782168</v>
      </c>
      <c r="Q183" s="3">
        <v>33305772</v>
      </c>
      <c r="R183" s="3">
        <v>33169428</v>
      </c>
      <c r="S183" s="3">
        <v>33169428</v>
      </c>
      <c r="T183" s="3">
        <v>3981373</v>
      </c>
      <c r="U183" s="3">
        <v>3981373</v>
      </c>
      <c r="V183" s="3">
        <v>3981373</v>
      </c>
      <c r="W183" s="3">
        <v>3981373</v>
      </c>
      <c r="X183" s="3">
        <v>3958648</v>
      </c>
      <c r="Y183" s="3">
        <v>3958648</v>
      </c>
      <c r="Z183" s="4">
        <v>3958648</v>
      </c>
      <c r="AA183" s="4">
        <v>3958648</v>
      </c>
      <c r="AB183" s="4">
        <v>3958648</v>
      </c>
      <c r="AC183" s="4">
        <v>3958649</v>
      </c>
      <c r="AD183" s="4">
        <v>3981373</v>
      </c>
      <c r="AE183" s="4">
        <v>7962746</v>
      </c>
      <c r="AF183" s="4">
        <v>11944119</v>
      </c>
      <c r="AG183" s="4">
        <v>15925492</v>
      </c>
      <c r="AH183" s="4">
        <v>19884140</v>
      </c>
      <c r="AI183" s="4">
        <v>23842788</v>
      </c>
      <c r="AJ183" s="4">
        <v>27801436</v>
      </c>
      <c r="AK183" s="4">
        <v>31760084</v>
      </c>
      <c r="AL183" s="4">
        <v>35718732</v>
      </c>
      <c r="AM183" s="4">
        <v>39677381</v>
      </c>
      <c r="AN183" s="154">
        <v>2519497</v>
      </c>
    </row>
    <row r="184" spans="1:40" x14ac:dyDescent="0.2">
      <c r="A184" s="1">
        <v>2019</v>
      </c>
      <c r="B184" s="2" t="s">
        <v>204</v>
      </c>
      <c r="C184" s="2" t="s">
        <v>204</v>
      </c>
      <c r="D184" s="1" t="s">
        <v>555</v>
      </c>
      <c r="E184" s="3">
        <v>3025033</v>
      </c>
      <c r="F184" s="3">
        <v>415</v>
      </c>
      <c r="G184" s="3">
        <v>12794</v>
      </c>
      <c r="H184" s="1">
        <v>0</v>
      </c>
      <c r="I184" s="3">
        <v>3024618</v>
      </c>
      <c r="J184" s="3">
        <v>3011824</v>
      </c>
      <c r="K184" s="3">
        <v>3011824</v>
      </c>
      <c r="L184" s="3">
        <v>83785</v>
      </c>
      <c r="M184" s="3">
        <v>295975</v>
      </c>
      <c r="N184" s="3">
        <v>32228</v>
      </c>
      <c r="O184" s="3">
        <v>28396</v>
      </c>
      <c r="P184" s="3">
        <v>167233</v>
      </c>
      <c r="Q184" s="3">
        <v>2417001</v>
      </c>
      <c r="R184" s="3">
        <v>2404207</v>
      </c>
      <c r="S184" s="3">
        <v>2404207</v>
      </c>
      <c r="T184" s="3">
        <v>302462</v>
      </c>
      <c r="U184" s="3">
        <v>302462</v>
      </c>
      <c r="V184" s="3">
        <v>302462</v>
      </c>
      <c r="W184" s="3">
        <v>302462</v>
      </c>
      <c r="X184" s="3">
        <v>300329</v>
      </c>
      <c r="Y184" s="3">
        <v>300329</v>
      </c>
      <c r="Z184" s="4">
        <v>300330</v>
      </c>
      <c r="AA184" s="4">
        <v>300330</v>
      </c>
      <c r="AB184" s="4">
        <v>300330</v>
      </c>
      <c r="AC184" s="4">
        <v>300328</v>
      </c>
      <c r="AD184" s="4">
        <v>302462</v>
      </c>
      <c r="AE184" s="4">
        <v>604924</v>
      </c>
      <c r="AF184" s="4">
        <v>907386</v>
      </c>
      <c r="AG184" s="4">
        <v>1209848</v>
      </c>
      <c r="AH184" s="4">
        <v>1510177</v>
      </c>
      <c r="AI184" s="4">
        <v>1810506</v>
      </c>
      <c r="AJ184" s="4">
        <v>2110836</v>
      </c>
      <c r="AK184" s="4">
        <v>2411166</v>
      </c>
      <c r="AL184" s="4">
        <v>2711496</v>
      </c>
      <c r="AM184" s="4">
        <v>3011824</v>
      </c>
      <c r="AN184" s="154">
        <v>215797</v>
      </c>
    </row>
    <row r="185" spans="1:40" x14ac:dyDescent="0.2">
      <c r="A185" s="1">
        <v>2019</v>
      </c>
      <c r="B185" s="2" t="s">
        <v>205</v>
      </c>
      <c r="C185" s="2" t="s">
        <v>205</v>
      </c>
      <c r="D185" s="1" t="s">
        <v>556</v>
      </c>
      <c r="E185" s="3">
        <v>22399395</v>
      </c>
      <c r="F185" s="3">
        <v>2985</v>
      </c>
      <c r="G185" s="3">
        <v>90908</v>
      </c>
      <c r="H185" s="1">
        <v>0</v>
      </c>
      <c r="I185" s="3">
        <v>22396410</v>
      </c>
      <c r="J185" s="3">
        <v>22305502</v>
      </c>
      <c r="K185" s="3">
        <v>22305502</v>
      </c>
      <c r="L185" s="3">
        <v>603255</v>
      </c>
      <c r="M185" s="3">
        <v>2100796</v>
      </c>
      <c r="N185" s="3">
        <v>282558</v>
      </c>
      <c r="O185" s="3">
        <v>249554</v>
      </c>
      <c r="P185" s="3">
        <v>1209676</v>
      </c>
      <c r="Q185" s="3">
        <v>17950571</v>
      </c>
      <c r="R185" s="3">
        <v>17859663</v>
      </c>
      <c r="S185" s="3">
        <v>17859663</v>
      </c>
      <c r="T185" s="3">
        <v>2239641</v>
      </c>
      <c r="U185" s="3">
        <v>2239641</v>
      </c>
      <c r="V185" s="3">
        <v>2239641</v>
      </c>
      <c r="W185" s="3">
        <v>2239641</v>
      </c>
      <c r="X185" s="3">
        <v>2224490</v>
      </c>
      <c r="Y185" s="3">
        <v>2224490</v>
      </c>
      <c r="Z185" s="4">
        <v>2224490</v>
      </c>
      <c r="AA185" s="4">
        <v>2224490</v>
      </c>
      <c r="AB185" s="4">
        <v>2224490</v>
      </c>
      <c r="AC185" s="4">
        <v>2224488</v>
      </c>
      <c r="AD185" s="4">
        <v>2239641</v>
      </c>
      <c r="AE185" s="4">
        <v>4479282</v>
      </c>
      <c r="AF185" s="4">
        <v>6718923</v>
      </c>
      <c r="AG185" s="4">
        <v>8958564</v>
      </c>
      <c r="AH185" s="4">
        <v>11183054</v>
      </c>
      <c r="AI185" s="4">
        <v>13407544</v>
      </c>
      <c r="AJ185" s="4">
        <v>15632034</v>
      </c>
      <c r="AK185" s="4">
        <v>17856524</v>
      </c>
      <c r="AL185" s="4">
        <v>20081014</v>
      </c>
      <c r="AM185" s="4">
        <v>22305502</v>
      </c>
      <c r="AN185" s="154">
        <v>1747856</v>
      </c>
    </row>
    <row r="186" spans="1:40" x14ac:dyDescent="0.2">
      <c r="A186" s="1">
        <v>2019</v>
      </c>
      <c r="B186" s="2" t="s">
        <v>206</v>
      </c>
      <c r="C186" s="2" t="s">
        <v>206</v>
      </c>
      <c r="D186" s="1" t="s">
        <v>557</v>
      </c>
      <c r="E186" s="3">
        <v>7830181</v>
      </c>
      <c r="F186" s="3">
        <v>1028</v>
      </c>
      <c r="G186" s="3">
        <v>35882</v>
      </c>
      <c r="H186" s="3">
        <v>2356</v>
      </c>
      <c r="I186" s="3">
        <v>7829153</v>
      </c>
      <c r="J186" s="3">
        <v>7793271</v>
      </c>
      <c r="K186" s="3">
        <v>7790915</v>
      </c>
      <c r="L186" s="3">
        <v>207788</v>
      </c>
      <c r="M186" s="3">
        <v>820112</v>
      </c>
      <c r="N186" s="3">
        <v>94536</v>
      </c>
      <c r="O186" s="3">
        <v>98070</v>
      </c>
      <c r="P186" s="3">
        <v>469017</v>
      </c>
      <c r="Q186" s="3">
        <v>6139630</v>
      </c>
      <c r="R186" s="3">
        <v>6103748</v>
      </c>
      <c r="S186" s="3">
        <v>6101392</v>
      </c>
      <c r="T186" s="3">
        <v>782915</v>
      </c>
      <c r="U186" s="3">
        <v>782915</v>
      </c>
      <c r="V186" s="3">
        <v>782915</v>
      </c>
      <c r="W186" s="3">
        <v>782915</v>
      </c>
      <c r="X186" s="3">
        <v>776935</v>
      </c>
      <c r="Y186" s="3">
        <v>776935</v>
      </c>
      <c r="Z186" s="4">
        <v>776346</v>
      </c>
      <c r="AA186" s="4">
        <v>776346</v>
      </c>
      <c r="AB186" s="4">
        <v>776346</v>
      </c>
      <c r="AC186" s="4">
        <v>776347</v>
      </c>
      <c r="AD186" s="4">
        <v>782915</v>
      </c>
      <c r="AE186" s="4">
        <v>1565830</v>
      </c>
      <c r="AF186" s="4">
        <v>2348745</v>
      </c>
      <c r="AG186" s="4">
        <v>3131660</v>
      </c>
      <c r="AH186" s="4">
        <v>3908595</v>
      </c>
      <c r="AI186" s="4">
        <v>4685530</v>
      </c>
      <c r="AJ186" s="4">
        <v>5461876</v>
      </c>
      <c r="AK186" s="4">
        <v>6238222</v>
      </c>
      <c r="AL186" s="4">
        <v>7014568</v>
      </c>
      <c r="AM186" s="4">
        <v>7790915</v>
      </c>
      <c r="AN186" s="154">
        <v>690033</v>
      </c>
    </row>
    <row r="187" spans="1:40" x14ac:dyDescent="0.2">
      <c r="A187" s="1">
        <v>2019</v>
      </c>
      <c r="B187" s="2" t="s">
        <v>207</v>
      </c>
      <c r="C187" s="2" t="s">
        <v>207</v>
      </c>
      <c r="D187" s="1" t="s">
        <v>558</v>
      </c>
      <c r="E187" s="3">
        <v>4194245</v>
      </c>
      <c r="F187" s="3">
        <v>0</v>
      </c>
      <c r="G187" s="3">
        <v>19753</v>
      </c>
      <c r="H187" s="1">
        <v>0</v>
      </c>
      <c r="I187" s="3">
        <v>4194245</v>
      </c>
      <c r="J187" s="3">
        <v>4174492</v>
      </c>
      <c r="K187" s="3">
        <v>4174492</v>
      </c>
      <c r="L187" s="3">
        <v>0</v>
      </c>
      <c r="M187" s="3">
        <v>465038</v>
      </c>
      <c r="N187" s="3">
        <v>48350</v>
      </c>
      <c r="O187" s="3">
        <v>45779</v>
      </c>
      <c r="P187" s="3">
        <v>258196</v>
      </c>
      <c r="Q187" s="3">
        <v>3376882</v>
      </c>
      <c r="R187" s="3">
        <v>3357129</v>
      </c>
      <c r="S187" s="3">
        <v>3357129</v>
      </c>
      <c r="T187" s="3">
        <v>419425</v>
      </c>
      <c r="U187" s="3">
        <v>419425</v>
      </c>
      <c r="V187" s="3">
        <v>419425</v>
      </c>
      <c r="W187" s="3">
        <v>419425</v>
      </c>
      <c r="X187" s="3">
        <v>416132</v>
      </c>
      <c r="Y187" s="3">
        <v>416132</v>
      </c>
      <c r="Z187" s="4">
        <v>416132</v>
      </c>
      <c r="AA187" s="4">
        <v>416132</v>
      </c>
      <c r="AB187" s="4">
        <v>416132</v>
      </c>
      <c r="AC187" s="4">
        <v>416132</v>
      </c>
      <c r="AD187" s="4">
        <v>419425</v>
      </c>
      <c r="AE187" s="4">
        <v>838850</v>
      </c>
      <c r="AF187" s="4">
        <v>1258275</v>
      </c>
      <c r="AG187" s="4">
        <v>1677700</v>
      </c>
      <c r="AH187" s="4">
        <v>2093832</v>
      </c>
      <c r="AI187" s="4">
        <v>2509964</v>
      </c>
      <c r="AJ187" s="4">
        <v>2926096</v>
      </c>
      <c r="AK187" s="4">
        <v>3342228</v>
      </c>
      <c r="AL187" s="4">
        <v>3758360</v>
      </c>
      <c r="AM187" s="4">
        <v>4174492</v>
      </c>
      <c r="AN187" s="154">
        <v>333524</v>
      </c>
    </row>
    <row r="188" spans="1:40" x14ac:dyDescent="0.2">
      <c r="A188" s="1">
        <v>2019</v>
      </c>
      <c r="B188" s="2" t="s">
        <v>208</v>
      </c>
      <c r="C188" s="2" t="s">
        <v>208</v>
      </c>
      <c r="D188" s="1" t="s">
        <v>559</v>
      </c>
      <c r="E188" s="3">
        <v>2345168</v>
      </c>
      <c r="F188" s="3">
        <v>315</v>
      </c>
      <c r="G188" s="3">
        <v>8295</v>
      </c>
      <c r="H188" s="3">
        <v>48772</v>
      </c>
      <c r="I188" s="3">
        <v>2344853</v>
      </c>
      <c r="J188" s="3">
        <v>2336558</v>
      </c>
      <c r="K188" s="3">
        <v>2287786</v>
      </c>
      <c r="L188" s="3">
        <v>63677</v>
      </c>
      <c r="M188" s="3">
        <v>227952</v>
      </c>
      <c r="N188" s="3">
        <v>28127</v>
      </c>
      <c r="O188" s="3">
        <v>23605</v>
      </c>
      <c r="P188" s="3">
        <v>110914</v>
      </c>
      <c r="Q188" s="3">
        <v>1890578</v>
      </c>
      <c r="R188" s="3">
        <v>1882283</v>
      </c>
      <c r="S188" s="3">
        <v>1833511</v>
      </c>
      <c r="T188" s="3">
        <v>234485</v>
      </c>
      <c r="U188" s="3">
        <v>234485</v>
      </c>
      <c r="V188" s="3">
        <v>234485</v>
      </c>
      <c r="W188" s="3">
        <v>234485</v>
      </c>
      <c r="X188" s="3">
        <v>233103</v>
      </c>
      <c r="Y188" s="3">
        <v>233103</v>
      </c>
      <c r="Z188" s="4">
        <v>220910</v>
      </c>
      <c r="AA188" s="4">
        <v>220910</v>
      </c>
      <c r="AB188" s="4">
        <v>220910</v>
      </c>
      <c r="AC188" s="4">
        <v>220910</v>
      </c>
      <c r="AD188" s="4">
        <v>234485</v>
      </c>
      <c r="AE188" s="4">
        <v>468970</v>
      </c>
      <c r="AF188" s="4">
        <v>703455</v>
      </c>
      <c r="AG188" s="4">
        <v>937940</v>
      </c>
      <c r="AH188" s="4">
        <v>1171043</v>
      </c>
      <c r="AI188" s="4">
        <v>1404146</v>
      </c>
      <c r="AJ188" s="4">
        <v>1625056</v>
      </c>
      <c r="AK188" s="4">
        <v>1845966</v>
      </c>
      <c r="AL188" s="4">
        <v>2066876</v>
      </c>
      <c r="AM188" s="4">
        <v>2287786</v>
      </c>
      <c r="AN188" s="154">
        <v>139947</v>
      </c>
    </row>
    <row r="189" spans="1:40" x14ac:dyDescent="0.2">
      <c r="A189" s="1">
        <v>2019</v>
      </c>
      <c r="B189" s="2" t="s">
        <v>209</v>
      </c>
      <c r="C189" s="2" t="s">
        <v>209</v>
      </c>
      <c r="D189" s="1" t="s">
        <v>560</v>
      </c>
      <c r="E189" s="3">
        <v>2955380</v>
      </c>
      <c r="F189" s="1">
        <v>398</v>
      </c>
      <c r="G189" s="3">
        <v>13366</v>
      </c>
      <c r="H189" s="1">
        <v>0</v>
      </c>
      <c r="I189" s="3">
        <v>2954982</v>
      </c>
      <c r="J189" s="3">
        <v>2941616</v>
      </c>
      <c r="K189" s="3">
        <v>2941616</v>
      </c>
      <c r="L189" s="3">
        <v>80434</v>
      </c>
      <c r="M189" s="3">
        <v>343119</v>
      </c>
      <c r="N189" s="3">
        <v>36132</v>
      </c>
      <c r="O189" s="3">
        <v>34081</v>
      </c>
      <c r="P189" s="3">
        <v>178736</v>
      </c>
      <c r="Q189" s="3">
        <v>2282480</v>
      </c>
      <c r="R189" s="3">
        <v>2269114</v>
      </c>
      <c r="S189" s="3">
        <v>2269114</v>
      </c>
      <c r="T189" s="3">
        <v>295498</v>
      </c>
      <c r="U189" s="3">
        <v>295498</v>
      </c>
      <c r="V189" s="3">
        <v>295498</v>
      </c>
      <c r="W189" s="3">
        <v>295498</v>
      </c>
      <c r="X189" s="3">
        <v>293271</v>
      </c>
      <c r="Y189" s="3">
        <v>293271</v>
      </c>
      <c r="Z189" s="4">
        <v>293271</v>
      </c>
      <c r="AA189" s="4">
        <v>293271</v>
      </c>
      <c r="AB189" s="4">
        <v>293271</v>
      </c>
      <c r="AC189" s="4">
        <v>293269</v>
      </c>
      <c r="AD189" s="4">
        <v>295498</v>
      </c>
      <c r="AE189" s="4">
        <v>590996</v>
      </c>
      <c r="AF189" s="4">
        <v>886494</v>
      </c>
      <c r="AG189" s="4">
        <v>1181992</v>
      </c>
      <c r="AH189" s="4">
        <v>1475263</v>
      </c>
      <c r="AI189" s="4">
        <v>1768534</v>
      </c>
      <c r="AJ189" s="4">
        <v>2061805</v>
      </c>
      <c r="AK189" s="4">
        <v>2355076</v>
      </c>
      <c r="AL189" s="4">
        <v>2648347</v>
      </c>
      <c r="AM189" s="4">
        <v>2941616</v>
      </c>
      <c r="AN189" s="154">
        <v>227730</v>
      </c>
    </row>
    <row r="190" spans="1:40" x14ac:dyDescent="0.2">
      <c r="A190" s="1">
        <v>2019</v>
      </c>
      <c r="B190" s="2" t="s">
        <v>210</v>
      </c>
      <c r="C190" s="2" t="s">
        <v>210</v>
      </c>
      <c r="D190" s="1" t="s">
        <v>561</v>
      </c>
      <c r="E190" s="3">
        <v>7517278</v>
      </c>
      <c r="F190" s="3">
        <v>1592</v>
      </c>
      <c r="G190" s="3">
        <v>31191</v>
      </c>
      <c r="H190" s="1">
        <v>0</v>
      </c>
      <c r="I190" s="3">
        <v>7515686</v>
      </c>
      <c r="J190" s="3">
        <v>7484495</v>
      </c>
      <c r="K190" s="3">
        <v>7484495</v>
      </c>
      <c r="L190" s="3">
        <v>321736</v>
      </c>
      <c r="M190" s="3">
        <v>745486</v>
      </c>
      <c r="N190" s="3">
        <v>83513</v>
      </c>
      <c r="O190" s="3">
        <v>81166</v>
      </c>
      <c r="P190" s="3">
        <v>407701</v>
      </c>
      <c r="Q190" s="3">
        <v>5876084</v>
      </c>
      <c r="R190" s="3">
        <v>5844893</v>
      </c>
      <c r="S190" s="3">
        <v>5844893</v>
      </c>
      <c r="T190" s="3">
        <v>751569</v>
      </c>
      <c r="U190" s="3">
        <v>751569</v>
      </c>
      <c r="V190" s="3">
        <v>751569</v>
      </c>
      <c r="W190" s="3">
        <v>751569</v>
      </c>
      <c r="X190" s="3">
        <v>746370</v>
      </c>
      <c r="Y190" s="3">
        <v>746370</v>
      </c>
      <c r="Z190" s="4">
        <v>746370</v>
      </c>
      <c r="AA190" s="4">
        <v>746370</v>
      </c>
      <c r="AB190" s="4">
        <v>746370</v>
      </c>
      <c r="AC190" s="4">
        <v>746369</v>
      </c>
      <c r="AD190" s="4">
        <v>751569</v>
      </c>
      <c r="AE190" s="4">
        <v>1503138</v>
      </c>
      <c r="AF190" s="4">
        <v>2254707</v>
      </c>
      <c r="AG190" s="4">
        <v>3006276</v>
      </c>
      <c r="AH190" s="4">
        <v>3752646</v>
      </c>
      <c r="AI190" s="4">
        <v>4499016</v>
      </c>
      <c r="AJ190" s="4">
        <v>5245386</v>
      </c>
      <c r="AK190" s="4">
        <v>5991756</v>
      </c>
      <c r="AL190" s="4">
        <v>6738126</v>
      </c>
      <c r="AM190" s="4">
        <v>7484495</v>
      </c>
      <c r="AN190" s="154">
        <v>552391</v>
      </c>
    </row>
    <row r="191" spans="1:40" x14ac:dyDescent="0.2">
      <c r="A191" s="1">
        <v>2019</v>
      </c>
      <c r="B191" s="2" t="s">
        <v>211</v>
      </c>
      <c r="C191" s="2" t="s">
        <v>211</v>
      </c>
      <c r="D191" s="1" t="s">
        <v>562</v>
      </c>
      <c r="E191" s="3">
        <v>5046223</v>
      </c>
      <c r="F191" s="1">
        <v>663</v>
      </c>
      <c r="G191" s="3">
        <v>20792</v>
      </c>
      <c r="H191" s="1">
        <v>0</v>
      </c>
      <c r="I191" s="3">
        <v>5045560</v>
      </c>
      <c r="J191" s="3">
        <v>5024768</v>
      </c>
      <c r="K191" s="3">
        <v>5024768</v>
      </c>
      <c r="L191" s="3">
        <v>134057</v>
      </c>
      <c r="M191" s="3">
        <v>463483</v>
      </c>
      <c r="N191" s="3">
        <v>54484</v>
      </c>
      <c r="O191" s="3">
        <v>46173</v>
      </c>
      <c r="P191" s="3">
        <v>272226</v>
      </c>
      <c r="Q191" s="3">
        <v>4075137</v>
      </c>
      <c r="R191" s="3">
        <v>4054345</v>
      </c>
      <c r="S191" s="3">
        <v>4054345</v>
      </c>
      <c r="T191" s="3">
        <v>504556</v>
      </c>
      <c r="U191" s="3">
        <v>504556</v>
      </c>
      <c r="V191" s="3">
        <v>504556</v>
      </c>
      <c r="W191" s="3">
        <v>504556</v>
      </c>
      <c r="X191" s="3">
        <v>501091</v>
      </c>
      <c r="Y191" s="3">
        <v>501091</v>
      </c>
      <c r="Z191" s="4">
        <v>501091</v>
      </c>
      <c r="AA191" s="4">
        <v>501091</v>
      </c>
      <c r="AB191" s="4">
        <v>501091</v>
      </c>
      <c r="AC191" s="4">
        <v>501089</v>
      </c>
      <c r="AD191" s="4">
        <v>504556</v>
      </c>
      <c r="AE191" s="4">
        <v>1009112</v>
      </c>
      <c r="AF191" s="4">
        <v>1513668</v>
      </c>
      <c r="AG191" s="4">
        <v>2018224</v>
      </c>
      <c r="AH191" s="4">
        <v>2519315</v>
      </c>
      <c r="AI191" s="4">
        <v>3020406</v>
      </c>
      <c r="AJ191" s="4">
        <v>3521497</v>
      </c>
      <c r="AK191" s="4">
        <v>4022588</v>
      </c>
      <c r="AL191" s="4">
        <v>4523679</v>
      </c>
      <c r="AM191" s="4">
        <v>5024768</v>
      </c>
      <c r="AN191" s="154">
        <v>373290</v>
      </c>
    </row>
    <row r="192" spans="1:40" x14ac:dyDescent="0.2">
      <c r="A192" s="1">
        <v>2019</v>
      </c>
      <c r="B192" s="2" t="s">
        <v>212</v>
      </c>
      <c r="C192" s="2" t="s">
        <v>212</v>
      </c>
      <c r="D192" s="1" t="s">
        <v>563</v>
      </c>
      <c r="E192" s="3">
        <v>4607685</v>
      </c>
      <c r="F192" s="3">
        <v>746</v>
      </c>
      <c r="G192" s="3">
        <v>18921</v>
      </c>
      <c r="H192" s="1">
        <v>0</v>
      </c>
      <c r="I192" s="3">
        <v>4606939</v>
      </c>
      <c r="J192" s="3">
        <v>4588018</v>
      </c>
      <c r="K192" s="3">
        <v>4588018</v>
      </c>
      <c r="L192" s="3">
        <v>150814</v>
      </c>
      <c r="M192" s="3">
        <v>459148</v>
      </c>
      <c r="N192" s="3">
        <v>56501</v>
      </c>
      <c r="O192" s="3">
        <v>55740</v>
      </c>
      <c r="P192" s="3">
        <v>251310</v>
      </c>
      <c r="Q192" s="3">
        <v>3633426</v>
      </c>
      <c r="R192" s="3">
        <v>3614505</v>
      </c>
      <c r="S192" s="3">
        <v>3614505</v>
      </c>
      <c r="T192" s="3">
        <v>460694</v>
      </c>
      <c r="U192" s="3">
        <v>460694</v>
      </c>
      <c r="V192" s="3">
        <v>460694</v>
      </c>
      <c r="W192" s="3">
        <v>460694</v>
      </c>
      <c r="X192" s="3">
        <v>457540</v>
      </c>
      <c r="Y192" s="3">
        <v>457540</v>
      </c>
      <c r="Z192" s="4">
        <v>457541</v>
      </c>
      <c r="AA192" s="4">
        <v>457541</v>
      </c>
      <c r="AB192" s="4">
        <v>457541</v>
      </c>
      <c r="AC192" s="4">
        <v>457539</v>
      </c>
      <c r="AD192" s="4">
        <v>460694</v>
      </c>
      <c r="AE192" s="4">
        <v>921388</v>
      </c>
      <c r="AF192" s="4">
        <v>1382082</v>
      </c>
      <c r="AG192" s="4">
        <v>1842776</v>
      </c>
      <c r="AH192" s="4">
        <v>2300316</v>
      </c>
      <c r="AI192" s="4">
        <v>2757856</v>
      </c>
      <c r="AJ192" s="4">
        <v>3215397</v>
      </c>
      <c r="AK192" s="4">
        <v>3672938</v>
      </c>
      <c r="AL192" s="4">
        <v>4130479</v>
      </c>
      <c r="AM192" s="4">
        <v>4588018</v>
      </c>
      <c r="AN192" s="154">
        <v>334166</v>
      </c>
    </row>
    <row r="193" spans="1:40" x14ac:dyDescent="0.2">
      <c r="A193" s="1">
        <v>2019</v>
      </c>
      <c r="B193" s="2" t="s">
        <v>213</v>
      </c>
      <c r="C193" s="2" t="s">
        <v>213</v>
      </c>
      <c r="D193" s="1" t="s">
        <v>564</v>
      </c>
      <c r="E193" s="3">
        <v>2308456</v>
      </c>
      <c r="F193" s="1">
        <v>464</v>
      </c>
      <c r="G193" s="3">
        <v>12417</v>
      </c>
      <c r="H193" s="3">
        <v>0</v>
      </c>
      <c r="I193" s="3">
        <v>2307992</v>
      </c>
      <c r="J193" s="3">
        <v>2295575</v>
      </c>
      <c r="K193" s="3">
        <v>2295575</v>
      </c>
      <c r="L193" s="3">
        <v>93840</v>
      </c>
      <c r="M193" s="3">
        <v>286121</v>
      </c>
      <c r="N193" s="3">
        <v>36823</v>
      </c>
      <c r="O193" s="3">
        <v>27883</v>
      </c>
      <c r="P193" s="3">
        <v>170105</v>
      </c>
      <c r="Q193" s="3">
        <v>1693220</v>
      </c>
      <c r="R193" s="3">
        <v>1680803</v>
      </c>
      <c r="S193" s="3">
        <v>1680803</v>
      </c>
      <c r="T193" s="3">
        <v>230799</v>
      </c>
      <c r="U193" s="3">
        <v>230799</v>
      </c>
      <c r="V193" s="3">
        <v>230799</v>
      </c>
      <c r="W193" s="3">
        <v>230799</v>
      </c>
      <c r="X193" s="3">
        <v>228730</v>
      </c>
      <c r="Y193" s="3">
        <v>228730</v>
      </c>
      <c r="Z193" s="4">
        <v>228730</v>
      </c>
      <c r="AA193" s="4">
        <v>228730</v>
      </c>
      <c r="AB193" s="4">
        <v>228730</v>
      </c>
      <c r="AC193" s="4">
        <v>228729</v>
      </c>
      <c r="AD193" s="4">
        <v>230799</v>
      </c>
      <c r="AE193" s="4">
        <v>461598</v>
      </c>
      <c r="AF193" s="4">
        <v>692397</v>
      </c>
      <c r="AG193" s="4">
        <v>923196</v>
      </c>
      <c r="AH193" s="4">
        <v>1151926</v>
      </c>
      <c r="AI193" s="4">
        <v>1380656</v>
      </c>
      <c r="AJ193" s="4">
        <v>1609386</v>
      </c>
      <c r="AK193" s="4">
        <v>1838116</v>
      </c>
      <c r="AL193" s="4">
        <v>2066846</v>
      </c>
      <c r="AM193" s="4">
        <v>2295575</v>
      </c>
      <c r="AN193" s="154">
        <v>231883</v>
      </c>
    </row>
    <row r="194" spans="1:40" x14ac:dyDescent="0.2">
      <c r="A194" s="1">
        <v>2019</v>
      </c>
      <c r="B194" s="2" t="s">
        <v>214</v>
      </c>
      <c r="C194" s="2" t="s">
        <v>214</v>
      </c>
      <c r="D194" s="1" t="s">
        <v>565</v>
      </c>
      <c r="E194" s="3">
        <v>5922825</v>
      </c>
      <c r="F194" s="3">
        <v>929</v>
      </c>
      <c r="G194" s="3">
        <v>24819</v>
      </c>
      <c r="H194" s="1">
        <v>0</v>
      </c>
      <c r="I194" s="3">
        <v>5921896</v>
      </c>
      <c r="J194" s="3">
        <v>5897077</v>
      </c>
      <c r="K194" s="3">
        <v>5897077</v>
      </c>
      <c r="L194" s="3">
        <v>187679</v>
      </c>
      <c r="M194" s="3">
        <v>595337</v>
      </c>
      <c r="N194" s="3">
        <v>62752</v>
      </c>
      <c r="O194" s="3">
        <v>58003</v>
      </c>
      <c r="P194" s="3">
        <v>331578</v>
      </c>
      <c r="Q194" s="3">
        <v>4686547</v>
      </c>
      <c r="R194" s="3">
        <v>4661728</v>
      </c>
      <c r="S194" s="3">
        <v>4661728</v>
      </c>
      <c r="T194" s="3">
        <v>592190</v>
      </c>
      <c r="U194" s="3">
        <v>592190</v>
      </c>
      <c r="V194" s="3">
        <v>592190</v>
      </c>
      <c r="W194" s="3">
        <v>592190</v>
      </c>
      <c r="X194" s="3">
        <v>588053</v>
      </c>
      <c r="Y194" s="3">
        <v>588053</v>
      </c>
      <c r="Z194" s="4">
        <v>588053</v>
      </c>
      <c r="AA194" s="4">
        <v>588053</v>
      </c>
      <c r="AB194" s="4">
        <v>588053</v>
      </c>
      <c r="AC194" s="4">
        <v>588052</v>
      </c>
      <c r="AD194" s="4">
        <v>592190</v>
      </c>
      <c r="AE194" s="4">
        <v>1184380</v>
      </c>
      <c r="AF194" s="4">
        <v>1776570</v>
      </c>
      <c r="AG194" s="4">
        <v>2368760</v>
      </c>
      <c r="AH194" s="4">
        <v>2956813</v>
      </c>
      <c r="AI194" s="4">
        <v>3544866</v>
      </c>
      <c r="AJ194" s="4">
        <v>4132919</v>
      </c>
      <c r="AK194" s="4">
        <v>4720972</v>
      </c>
      <c r="AL194" s="4">
        <v>5309025</v>
      </c>
      <c r="AM194" s="4">
        <v>5897077</v>
      </c>
      <c r="AN194" s="154">
        <v>457385</v>
      </c>
    </row>
    <row r="195" spans="1:40" x14ac:dyDescent="0.2">
      <c r="A195" s="1">
        <v>2019</v>
      </c>
      <c r="B195" s="2" t="s">
        <v>215</v>
      </c>
      <c r="C195" s="2" t="s">
        <v>215</v>
      </c>
      <c r="D195" s="1" t="s">
        <v>566</v>
      </c>
      <c r="E195" s="3">
        <v>2256181</v>
      </c>
      <c r="F195" s="3">
        <v>315</v>
      </c>
      <c r="G195" s="3">
        <v>8603</v>
      </c>
      <c r="H195" s="1">
        <v>0</v>
      </c>
      <c r="I195" s="3">
        <v>2255866</v>
      </c>
      <c r="J195" s="3">
        <v>2247263</v>
      </c>
      <c r="K195" s="3">
        <v>2247263</v>
      </c>
      <c r="L195" s="3">
        <v>63677</v>
      </c>
      <c r="M195" s="3">
        <v>230731</v>
      </c>
      <c r="N195" s="3">
        <v>28788</v>
      </c>
      <c r="O195" s="3">
        <v>25871</v>
      </c>
      <c r="P195" s="3">
        <v>112447</v>
      </c>
      <c r="Q195" s="3">
        <v>1794352</v>
      </c>
      <c r="R195" s="3">
        <v>1785749</v>
      </c>
      <c r="S195" s="3">
        <v>1785749</v>
      </c>
      <c r="T195" s="3">
        <v>225587</v>
      </c>
      <c r="U195" s="3">
        <v>225587</v>
      </c>
      <c r="V195" s="3">
        <v>225587</v>
      </c>
      <c r="W195" s="3">
        <v>225587</v>
      </c>
      <c r="X195" s="3">
        <v>224153</v>
      </c>
      <c r="Y195" s="3">
        <v>224153</v>
      </c>
      <c r="Z195" s="4">
        <v>224152</v>
      </c>
      <c r="AA195" s="4">
        <v>224152</v>
      </c>
      <c r="AB195" s="4">
        <v>224152</v>
      </c>
      <c r="AC195" s="4">
        <v>224153</v>
      </c>
      <c r="AD195" s="4">
        <v>225587</v>
      </c>
      <c r="AE195" s="4">
        <v>451174</v>
      </c>
      <c r="AF195" s="4">
        <v>676761</v>
      </c>
      <c r="AG195" s="4">
        <v>902348</v>
      </c>
      <c r="AH195" s="4">
        <v>1126501</v>
      </c>
      <c r="AI195" s="4">
        <v>1350654</v>
      </c>
      <c r="AJ195" s="4">
        <v>1574806</v>
      </c>
      <c r="AK195" s="4">
        <v>1798958</v>
      </c>
      <c r="AL195" s="4">
        <v>2023110</v>
      </c>
      <c r="AM195" s="4">
        <v>2247263</v>
      </c>
      <c r="AN195" s="154">
        <v>148012</v>
      </c>
    </row>
    <row r="196" spans="1:40" x14ac:dyDescent="0.2">
      <c r="A196" s="1">
        <v>2019</v>
      </c>
      <c r="B196" s="2" t="s">
        <v>216</v>
      </c>
      <c r="C196" s="2" t="s">
        <v>216</v>
      </c>
      <c r="D196" s="1" t="s">
        <v>567</v>
      </c>
      <c r="E196" s="3">
        <v>1825300</v>
      </c>
      <c r="F196" s="1">
        <v>249</v>
      </c>
      <c r="G196" s="3">
        <v>6672</v>
      </c>
      <c r="H196" s="3">
        <v>37591</v>
      </c>
      <c r="I196" s="3">
        <v>1825051</v>
      </c>
      <c r="J196" s="3">
        <v>1818379</v>
      </c>
      <c r="K196" s="3">
        <v>1780788</v>
      </c>
      <c r="L196" s="3">
        <v>50271</v>
      </c>
      <c r="M196" s="3">
        <v>159282</v>
      </c>
      <c r="N196" s="3">
        <v>18577</v>
      </c>
      <c r="O196" s="3">
        <v>14568</v>
      </c>
      <c r="P196" s="3">
        <v>87208</v>
      </c>
      <c r="Q196" s="3">
        <v>1495145</v>
      </c>
      <c r="R196" s="3">
        <v>1488473</v>
      </c>
      <c r="S196" s="3">
        <v>1450882</v>
      </c>
      <c r="T196" s="3">
        <v>182505</v>
      </c>
      <c r="U196" s="3">
        <v>182505</v>
      </c>
      <c r="V196" s="3">
        <v>182505</v>
      </c>
      <c r="W196" s="3">
        <v>182505</v>
      </c>
      <c r="X196" s="3">
        <v>181393</v>
      </c>
      <c r="Y196" s="3">
        <v>181393</v>
      </c>
      <c r="Z196" s="4">
        <v>171996</v>
      </c>
      <c r="AA196" s="4">
        <v>171996</v>
      </c>
      <c r="AB196" s="4">
        <v>171996</v>
      </c>
      <c r="AC196" s="4">
        <v>171994</v>
      </c>
      <c r="AD196" s="4">
        <v>182505</v>
      </c>
      <c r="AE196" s="4">
        <v>365010</v>
      </c>
      <c r="AF196" s="4">
        <v>547515</v>
      </c>
      <c r="AG196" s="4">
        <v>730020</v>
      </c>
      <c r="AH196" s="4">
        <v>911413</v>
      </c>
      <c r="AI196" s="4">
        <v>1092806</v>
      </c>
      <c r="AJ196" s="4">
        <v>1264802</v>
      </c>
      <c r="AK196" s="4">
        <v>1436798</v>
      </c>
      <c r="AL196" s="4">
        <v>1608794</v>
      </c>
      <c r="AM196" s="4">
        <v>1780788</v>
      </c>
      <c r="AN196" s="154">
        <v>119647</v>
      </c>
    </row>
    <row r="197" spans="1:40" x14ac:dyDescent="0.2">
      <c r="A197" s="1">
        <v>2019</v>
      </c>
      <c r="B197" s="2" t="s">
        <v>217</v>
      </c>
      <c r="C197" s="2" t="s">
        <v>217</v>
      </c>
      <c r="D197" s="1" t="s">
        <v>568</v>
      </c>
      <c r="E197" s="3">
        <v>1362837</v>
      </c>
      <c r="F197" s="3">
        <v>282</v>
      </c>
      <c r="G197" s="3">
        <v>5226</v>
      </c>
      <c r="H197" s="1">
        <v>0</v>
      </c>
      <c r="I197" s="3">
        <v>1362555</v>
      </c>
      <c r="J197" s="3">
        <v>1357329</v>
      </c>
      <c r="K197" s="3">
        <v>1357329</v>
      </c>
      <c r="L197" s="3">
        <v>56974</v>
      </c>
      <c r="M197" s="3">
        <v>126245</v>
      </c>
      <c r="N197" s="3">
        <v>18425</v>
      </c>
      <c r="O197" s="3">
        <v>13807</v>
      </c>
      <c r="P197" s="3">
        <v>68986</v>
      </c>
      <c r="Q197" s="3">
        <v>1078118</v>
      </c>
      <c r="R197" s="3">
        <v>1072892</v>
      </c>
      <c r="S197" s="3">
        <v>1072892</v>
      </c>
      <c r="T197" s="3">
        <v>136256</v>
      </c>
      <c r="U197" s="3">
        <v>136256</v>
      </c>
      <c r="V197" s="3">
        <v>136256</v>
      </c>
      <c r="W197" s="3">
        <v>136256</v>
      </c>
      <c r="X197" s="3">
        <v>135384</v>
      </c>
      <c r="Y197" s="3">
        <v>135384</v>
      </c>
      <c r="Z197" s="4">
        <v>135384</v>
      </c>
      <c r="AA197" s="4">
        <v>135384</v>
      </c>
      <c r="AB197" s="4">
        <v>135384</v>
      </c>
      <c r="AC197" s="4">
        <v>135385</v>
      </c>
      <c r="AD197" s="4">
        <v>136256</v>
      </c>
      <c r="AE197" s="4">
        <v>272512</v>
      </c>
      <c r="AF197" s="4">
        <v>408768</v>
      </c>
      <c r="AG197" s="4">
        <v>545024</v>
      </c>
      <c r="AH197" s="4">
        <v>680408</v>
      </c>
      <c r="AI197" s="4">
        <v>815792</v>
      </c>
      <c r="AJ197" s="4">
        <v>951176</v>
      </c>
      <c r="AK197" s="4">
        <v>1086560</v>
      </c>
      <c r="AL197" s="4">
        <v>1221944</v>
      </c>
      <c r="AM197" s="4">
        <v>1357329</v>
      </c>
      <c r="AN197" s="154">
        <v>90550</v>
      </c>
    </row>
    <row r="198" spans="1:40" x14ac:dyDescent="0.2">
      <c r="A198" s="1">
        <v>2019</v>
      </c>
      <c r="B198" s="2" t="s">
        <v>218</v>
      </c>
      <c r="C198" s="2" t="s">
        <v>218</v>
      </c>
      <c r="D198" s="1" t="s">
        <v>569</v>
      </c>
      <c r="E198" s="3">
        <v>1419945</v>
      </c>
      <c r="F198" s="1">
        <v>166</v>
      </c>
      <c r="G198" s="3">
        <v>5243</v>
      </c>
      <c r="H198" s="3">
        <v>0</v>
      </c>
      <c r="I198" s="3">
        <v>1419779</v>
      </c>
      <c r="J198" s="3">
        <v>1414536</v>
      </c>
      <c r="K198" s="3">
        <v>1414536</v>
      </c>
      <c r="L198" s="3">
        <v>33514</v>
      </c>
      <c r="M198" s="3">
        <v>142927</v>
      </c>
      <c r="N198" s="3">
        <v>16510</v>
      </c>
      <c r="O198" s="3">
        <v>14689</v>
      </c>
      <c r="P198" s="3">
        <v>71928</v>
      </c>
      <c r="Q198" s="3">
        <v>1140211</v>
      </c>
      <c r="R198" s="3">
        <v>1134968</v>
      </c>
      <c r="S198" s="3">
        <v>1134968</v>
      </c>
      <c r="T198" s="3">
        <v>141978</v>
      </c>
      <c r="U198" s="3">
        <v>141978</v>
      </c>
      <c r="V198" s="3">
        <v>141978</v>
      </c>
      <c r="W198" s="3">
        <v>141978</v>
      </c>
      <c r="X198" s="3">
        <v>141104</v>
      </c>
      <c r="Y198" s="3">
        <v>141104</v>
      </c>
      <c r="Z198" s="4">
        <v>141104</v>
      </c>
      <c r="AA198" s="4">
        <v>141104</v>
      </c>
      <c r="AB198" s="4">
        <v>141104</v>
      </c>
      <c r="AC198" s="4">
        <v>141104</v>
      </c>
      <c r="AD198" s="4">
        <v>141978</v>
      </c>
      <c r="AE198" s="4">
        <v>283956</v>
      </c>
      <c r="AF198" s="4">
        <v>425934</v>
      </c>
      <c r="AG198" s="4">
        <v>567912</v>
      </c>
      <c r="AH198" s="4">
        <v>709016</v>
      </c>
      <c r="AI198" s="4">
        <v>850120</v>
      </c>
      <c r="AJ198" s="4">
        <v>991224</v>
      </c>
      <c r="AK198" s="4">
        <v>1132328</v>
      </c>
      <c r="AL198" s="4">
        <v>1273432</v>
      </c>
      <c r="AM198" s="4">
        <v>1414536</v>
      </c>
      <c r="AN198" s="154">
        <v>90181</v>
      </c>
    </row>
    <row r="199" spans="1:40" x14ac:dyDescent="0.2">
      <c r="A199" s="1">
        <v>2019</v>
      </c>
      <c r="B199" s="2" t="s">
        <v>219</v>
      </c>
      <c r="C199" s="2" t="s">
        <v>219</v>
      </c>
      <c r="D199" s="1" t="s">
        <v>570</v>
      </c>
      <c r="E199" s="3">
        <v>3558972</v>
      </c>
      <c r="F199" s="3">
        <v>464</v>
      </c>
      <c r="G199" s="3">
        <v>15764</v>
      </c>
      <c r="H199" s="1">
        <v>0</v>
      </c>
      <c r="I199" s="3">
        <v>3558508</v>
      </c>
      <c r="J199" s="3">
        <v>3542744</v>
      </c>
      <c r="K199" s="3">
        <v>3542744</v>
      </c>
      <c r="L199" s="3">
        <v>93840</v>
      </c>
      <c r="M199" s="3">
        <v>416046</v>
      </c>
      <c r="N199" s="3">
        <v>48134</v>
      </c>
      <c r="O199" s="3">
        <v>51738</v>
      </c>
      <c r="P199" s="3">
        <v>206054</v>
      </c>
      <c r="Q199" s="3">
        <v>2742696</v>
      </c>
      <c r="R199" s="3">
        <v>2726932</v>
      </c>
      <c r="S199" s="3">
        <v>2726932</v>
      </c>
      <c r="T199" s="3">
        <v>355851</v>
      </c>
      <c r="U199" s="3">
        <v>355851</v>
      </c>
      <c r="V199" s="3">
        <v>355851</v>
      </c>
      <c r="W199" s="3">
        <v>355851</v>
      </c>
      <c r="X199" s="3">
        <v>353223</v>
      </c>
      <c r="Y199" s="3">
        <v>353223</v>
      </c>
      <c r="Z199" s="4">
        <v>353224</v>
      </c>
      <c r="AA199" s="4">
        <v>353224</v>
      </c>
      <c r="AB199" s="4">
        <v>353224</v>
      </c>
      <c r="AC199" s="4">
        <v>353222</v>
      </c>
      <c r="AD199" s="4">
        <v>355851</v>
      </c>
      <c r="AE199" s="4">
        <v>711702</v>
      </c>
      <c r="AF199" s="4">
        <v>1067553</v>
      </c>
      <c r="AG199" s="4">
        <v>1423404</v>
      </c>
      <c r="AH199" s="4">
        <v>1776627</v>
      </c>
      <c r="AI199" s="4">
        <v>2129850</v>
      </c>
      <c r="AJ199" s="4">
        <v>2483074</v>
      </c>
      <c r="AK199" s="4">
        <v>2836298</v>
      </c>
      <c r="AL199" s="4">
        <v>3189522</v>
      </c>
      <c r="AM199" s="4">
        <v>3542744</v>
      </c>
      <c r="AN199" s="154">
        <v>270168</v>
      </c>
    </row>
    <row r="200" spans="1:40" x14ac:dyDescent="0.2">
      <c r="A200" s="1">
        <v>2019</v>
      </c>
      <c r="B200" s="2" t="s">
        <v>220</v>
      </c>
      <c r="C200" s="2" t="s">
        <v>220</v>
      </c>
      <c r="D200" s="1" t="s">
        <v>571</v>
      </c>
      <c r="E200" s="3">
        <v>12225660</v>
      </c>
      <c r="F200" s="3">
        <v>1360</v>
      </c>
      <c r="G200" s="3">
        <v>48292</v>
      </c>
      <c r="H200" s="3">
        <v>0</v>
      </c>
      <c r="I200" s="3">
        <v>12224300</v>
      </c>
      <c r="J200" s="3">
        <v>12176008</v>
      </c>
      <c r="K200" s="3">
        <v>12176008</v>
      </c>
      <c r="L200" s="3">
        <v>274816</v>
      </c>
      <c r="M200" s="3">
        <v>1112572</v>
      </c>
      <c r="N200" s="3">
        <v>148356</v>
      </c>
      <c r="O200" s="3">
        <v>132890</v>
      </c>
      <c r="P200" s="3">
        <v>636907</v>
      </c>
      <c r="Q200" s="3">
        <v>9918759</v>
      </c>
      <c r="R200" s="3">
        <v>9870467</v>
      </c>
      <c r="S200" s="3">
        <v>9870467</v>
      </c>
      <c r="T200" s="3">
        <v>1222430</v>
      </c>
      <c r="U200" s="3">
        <v>1222430</v>
      </c>
      <c r="V200" s="3">
        <v>1222430</v>
      </c>
      <c r="W200" s="3">
        <v>1222430</v>
      </c>
      <c r="X200" s="3">
        <v>1214381</v>
      </c>
      <c r="Y200" s="3">
        <v>1214381</v>
      </c>
      <c r="Z200" s="4">
        <v>1214382</v>
      </c>
      <c r="AA200" s="4">
        <v>1214382</v>
      </c>
      <c r="AB200" s="4">
        <v>1214382</v>
      </c>
      <c r="AC200" s="4">
        <v>1214380</v>
      </c>
      <c r="AD200" s="4">
        <v>1222430</v>
      </c>
      <c r="AE200" s="4">
        <v>2444860</v>
      </c>
      <c r="AF200" s="4">
        <v>3667290</v>
      </c>
      <c r="AG200" s="4">
        <v>4889720</v>
      </c>
      <c r="AH200" s="4">
        <v>6104101</v>
      </c>
      <c r="AI200" s="4">
        <v>7318482</v>
      </c>
      <c r="AJ200" s="4">
        <v>8532864</v>
      </c>
      <c r="AK200" s="4">
        <v>9747246</v>
      </c>
      <c r="AL200" s="4">
        <v>10961628</v>
      </c>
      <c r="AM200" s="4">
        <v>12176008</v>
      </c>
      <c r="AN200" s="154">
        <v>850455</v>
      </c>
    </row>
    <row r="201" spans="1:40" x14ac:dyDescent="0.2">
      <c r="A201" s="1">
        <v>2019</v>
      </c>
      <c r="B201" s="2" t="s">
        <v>221</v>
      </c>
      <c r="C201" s="2" t="s">
        <v>221</v>
      </c>
      <c r="D201" s="1" t="s">
        <v>572</v>
      </c>
      <c r="E201" s="3">
        <v>6761940</v>
      </c>
      <c r="F201" s="3">
        <v>1111</v>
      </c>
      <c r="G201" s="3">
        <v>28076</v>
      </c>
      <c r="H201" s="1">
        <v>0</v>
      </c>
      <c r="I201" s="3">
        <v>6760829</v>
      </c>
      <c r="J201" s="3">
        <v>6732753</v>
      </c>
      <c r="K201" s="3">
        <v>6732753</v>
      </c>
      <c r="L201" s="3">
        <v>224545</v>
      </c>
      <c r="M201" s="3">
        <v>658529</v>
      </c>
      <c r="N201" s="3">
        <v>80827</v>
      </c>
      <c r="O201" s="3">
        <v>74375</v>
      </c>
      <c r="P201" s="3">
        <v>366986</v>
      </c>
      <c r="Q201" s="3">
        <v>5355567</v>
      </c>
      <c r="R201" s="3">
        <v>5327491</v>
      </c>
      <c r="S201" s="3">
        <v>5327491</v>
      </c>
      <c r="T201" s="3">
        <v>676083</v>
      </c>
      <c r="U201" s="3">
        <v>676083</v>
      </c>
      <c r="V201" s="3">
        <v>676083</v>
      </c>
      <c r="W201" s="3">
        <v>676083</v>
      </c>
      <c r="X201" s="3">
        <v>671404</v>
      </c>
      <c r="Y201" s="3">
        <v>671404</v>
      </c>
      <c r="Z201" s="4">
        <v>671403</v>
      </c>
      <c r="AA201" s="4">
        <v>671403</v>
      </c>
      <c r="AB201" s="4">
        <v>671403</v>
      </c>
      <c r="AC201" s="4">
        <v>671404</v>
      </c>
      <c r="AD201" s="4">
        <v>676083</v>
      </c>
      <c r="AE201" s="4">
        <v>1352166</v>
      </c>
      <c r="AF201" s="4">
        <v>2028249</v>
      </c>
      <c r="AG201" s="4">
        <v>2704332</v>
      </c>
      <c r="AH201" s="4">
        <v>3375736</v>
      </c>
      <c r="AI201" s="4">
        <v>4047140</v>
      </c>
      <c r="AJ201" s="4">
        <v>4718543</v>
      </c>
      <c r="AK201" s="4">
        <v>5389946</v>
      </c>
      <c r="AL201" s="4">
        <v>6061349</v>
      </c>
      <c r="AM201" s="4">
        <v>6732753</v>
      </c>
      <c r="AN201" s="154">
        <v>475660</v>
      </c>
    </row>
    <row r="202" spans="1:40" x14ac:dyDescent="0.2">
      <c r="A202" s="1">
        <v>2019</v>
      </c>
      <c r="B202" s="2" t="s">
        <v>222</v>
      </c>
      <c r="C202" s="2" t="s">
        <v>222</v>
      </c>
      <c r="D202" s="1" t="s">
        <v>573</v>
      </c>
      <c r="E202" s="3">
        <v>1643953</v>
      </c>
      <c r="F202" s="3">
        <v>282</v>
      </c>
      <c r="G202" s="3">
        <v>6300</v>
      </c>
      <c r="H202" s="1">
        <v>271</v>
      </c>
      <c r="I202" s="3">
        <v>1643671</v>
      </c>
      <c r="J202" s="3">
        <v>1637371</v>
      </c>
      <c r="K202" s="3">
        <v>1637100</v>
      </c>
      <c r="L202" s="3">
        <v>56974</v>
      </c>
      <c r="M202" s="3">
        <v>179684</v>
      </c>
      <c r="N202" s="3">
        <v>21953</v>
      </c>
      <c r="O202" s="3">
        <v>17908</v>
      </c>
      <c r="P202" s="3">
        <v>85473</v>
      </c>
      <c r="Q202" s="3">
        <v>1281679</v>
      </c>
      <c r="R202" s="3">
        <v>1275379</v>
      </c>
      <c r="S202" s="3">
        <v>1275108</v>
      </c>
      <c r="T202" s="3">
        <v>164367</v>
      </c>
      <c r="U202" s="3">
        <v>164367</v>
      </c>
      <c r="V202" s="3">
        <v>164367</v>
      </c>
      <c r="W202" s="3">
        <v>164367</v>
      </c>
      <c r="X202" s="3">
        <v>163317</v>
      </c>
      <c r="Y202" s="3">
        <v>163317</v>
      </c>
      <c r="Z202" s="4">
        <v>163250</v>
      </c>
      <c r="AA202" s="4">
        <v>163250</v>
      </c>
      <c r="AB202" s="4">
        <v>163250</v>
      </c>
      <c r="AC202" s="4">
        <v>163248</v>
      </c>
      <c r="AD202" s="4">
        <v>164367</v>
      </c>
      <c r="AE202" s="4">
        <v>328734</v>
      </c>
      <c r="AF202" s="4">
        <v>493101</v>
      </c>
      <c r="AG202" s="4">
        <v>657468</v>
      </c>
      <c r="AH202" s="4">
        <v>820785</v>
      </c>
      <c r="AI202" s="4">
        <v>984102</v>
      </c>
      <c r="AJ202" s="4">
        <v>1147352</v>
      </c>
      <c r="AK202" s="4">
        <v>1310602</v>
      </c>
      <c r="AL202" s="4">
        <v>1473852</v>
      </c>
      <c r="AM202" s="4">
        <v>1637100</v>
      </c>
      <c r="AN202" s="154">
        <v>112282</v>
      </c>
    </row>
    <row r="203" spans="1:40" x14ac:dyDescent="0.2">
      <c r="A203" s="1">
        <v>2019</v>
      </c>
      <c r="B203" s="2" t="s">
        <v>223</v>
      </c>
      <c r="C203" s="2" t="s">
        <v>223</v>
      </c>
      <c r="D203" s="1" t="s">
        <v>574</v>
      </c>
      <c r="E203" s="3">
        <v>33065383</v>
      </c>
      <c r="F203" s="3">
        <v>4378</v>
      </c>
      <c r="G203" s="3">
        <v>123291</v>
      </c>
      <c r="H203" s="3">
        <v>89190</v>
      </c>
      <c r="I203" s="3">
        <v>33061005</v>
      </c>
      <c r="J203" s="3">
        <v>32937714</v>
      </c>
      <c r="K203" s="3">
        <v>32848524</v>
      </c>
      <c r="L203" s="3">
        <v>884774</v>
      </c>
      <c r="M203" s="3">
        <v>2856659</v>
      </c>
      <c r="N203" s="3">
        <v>383247</v>
      </c>
      <c r="O203" s="3">
        <v>312119</v>
      </c>
      <c r="P203" s="3">
        <v>1643569</v>
      </c>
      <c r="Q203" s="3">
        <v>26980637</v>
      </c>
      <c r="R203" s="3">
        <v>26857346</v>
      </c>
      <c r="S203" s="3">
        <v>26768156</v>
      </c>
      <c r="T203" s="3">
        <v>3306101</v>
      </c>
      <c r="U203" s="3">
        <v>3306101</v>
      </c>
      <c r="V203" s="3">
        <v>3306101</v>
      </c>
      <c r="W203" s="3">
        <v>3306101</v>
      </c>
      <c r="X203" s="3">
        <v>3285552</v>
      </c>
      <c r="Y203" s="3">
        <v>3285552</v>
      </c>
      <c r="Z203" s="4">
        <v>3263254</v>
      </c>
      <c r="AA203" s="4">
        <v>3263254</v>
      </c>
      <c r="AB203" s="4">
        <v>3263254</v>
      </c>
      <c r="AC203" s="4">
        <v>3263254</v>
      </c>
      <c r="AD203" s="4">
        <v>3306101</v>
      </c>
      <c r="AE203" s="4">
        <v>6612202</v>
      </c>
      <c r="AF203" s="4">
        <v>9918303</v>
      </c>
      <c r="AG203" s="4">
        <v>13224404</v>
      </c>
      <c r="AH203" s="4">
        <v>16509956</v>
      </c>
      <c r="AI203" s="4">
        <v>19795508</v>
      </c>
      <c r="AJ203" s="4">
        <v>23058762</v>
      </c>
      <c r="AK203" s="4">
        <v>26322016</v>
      </c>
      <c r="AL203" s="4">
        <v>29585270</v>
      </c>
      <c r="AM203" s="4">
        <v>32848524</v>
      </c>
      <c r="AN203" s="154">
        <v>2223267</v>
      </c>
    </row>
    <row r="204" spans="1:40" x14ac:dyDescent="0.2">
      <c r="A204" s="1">
        <v>2019</v>
      </c>
      <c r="B204" s="2" t="s">
        <v>224</v>
      </c>
      <c r="C204" s="2" t="s">
        <v>224</v>
      </c>
      <c r="D204" s="1" t="s">
        <v>575</v>
      </c>
      <c r="E204" s="3">
        <v>3563031</v>
      </c>
      <c r="F204" s="1">
        <v>697</v>
      </c>
      <c r="G204" s="3">
        <v>15307</v>
      </c>
      <c r="H204" s="1">
        <v>0</v>
      </c>
      <c r="I204" s="3">
        <v>3562334</v>
      </c>
      <c r="J204" s="3">
        <v>3547027</v>
      </c>
      <c r="K204" s="3">
        <v>3547027</v>
      </c>
      <c r="L204" s="3">
        <v>140759</v>
      </c>
      <c r="M204" s="3">
        <v>349927</v>
      </c>
      <c r="N204" s="3">
        <v>34830</v>
      </c>
      <c r="O204" s="3">
        <v>39748</v>
      </c>
      <c r="P204" s="3">
        <v>201494</v>
      </c>
      <c r="Q204" s="3">
        <v>2795576</v>
      </c>
      <c r="R204" s="3">
        <v>2780269</v>
      </c>
      <c r="S204" s="3">
        <v>2780269</v>
      </c>
      <c r="T204" s="3">
        <v>356233</v>
      </c>
      <c r="U204" s="3">
        <v>356233</v>
      </c>
      <c r="V204" s="3">
        <v>356233</v>
      </c>
      <c r="W204" s="3">
        <v>356233</v>
      </c>
      <c r="X204" s="3">
        <v>353683</v>
      </c>
      <c r="Y204" s="3">
        <v>353683</v>
      </c>
      <c r="Z204" s="4">
        <v>353682</v>
      </c>
      <c r="AA204" s="4">
        <v>353682</v>
      </c>
      <c r="AB204" s="4">
        <v>353682</v>
      </c>
      <c r="AC204" s="4">
        <v>353683</v>
      </c>
      <c r="AD204" s="4">
        <v>356233</v>
      </c>
      <c r="AE204" s="4">
        <v>712466</v>
      </c>
      <c r="AF204" s="4">
        <v>1068699</v>
      </c>
      <c r="AG204" s="4">
        <v>1424932</v>
      </c>
      <c r="AH204" s="4">
        <v>1778615</v>
      </c>
      <c r="AI204" s="4">
        <v>2132298</v>
      </c>
      <c r="AJ204" s="4">
        <v>2485980</v>
      </c>
      <c r="AK204" s="4">
        <v>2839662</v>
      </c>
      <c r="AL204" s="4">
        <v>3193344</v>
      </c>
      <c r="AM204" s="4">
        <v>3547027</v>
      </c>
      <c r="AN204" s="154">
        <v>267928</v>
      </c>
    </row>
    <row r="205" spans="1:40" x14ac:dyDescent="0.2">
      <c r="A205" s="1">
        <v>2019</v>
      </c>
      <c r="B205" s="2" t="s">
        <v>225</v>
      </c>
      <c r="C205" s="2" t="s">
        <v>225</v>
      </c>
      <c r="D205" s="1" t="s">
        <v>576</v>
      </c>
      <c r="E205" s="3">
        <v>9746380</v>
      </c>
      <c r="F205" s="3">
        <v>1377</v>
      </c>
      <c r="G205" s="3">
        <v>37243</v>
      </c>
      <c r="H205" s="3">
        <v>39350</v>
      </c>
      <c r="I205" s="3">
        <v>9745003</v>
      </c>
      <c r="J205" s="3">
        <v>9707760</v>
      </c>
      <c r="K205" s="3">
        <v>9668410</v>
      </c>
      <c r="L205" s="3">
        <v>278167</v>
      </c>
      <c r="M205" s="3">
        <v>884151</v>
      </c>
      <c r="N205" s="3">
        <v>120535</v>
      </c>
      <c r="O205" s="3">
        <v>107268</v>
      </c>
      <c r="P205" s="3">
        <v>500454</v>
      </c>
      <c r="Q205" s="3">
        <v>7854428</v>
      </c>
      <c r="R205" s="3">
        <v>7817185</v>
      </c>
      <c r="S205" s="3">
        <v>7777835</v>
      </c>
      <c r="T205" s="3">
        <v>974500</v>
      </c>
      <c r="U205" s="3">
        <v>974500</v>
      </c>
      <c r="V205" s="3">
        <v>974500</v>
      </c>
      <c r="W205" s="3">
        <v>974500</v>
      </c>
      <c r="X205" s="3">
        <v>968293</v>
      </c>
      <c r="Y205" s="3">
        <v>968293</v>
      </c>
      <c r="Z205" s="4">
        <v>958456</v>
      </c>
      <c r="AA205" s="4">
        <v>958456</v>
      </c>
      <c r="AB205" s="4">
        <v>958456</v>
      </c>
      <c r="AC205" s="4">
        <v>958456</v>
      </c>
      <c r="AD205" s="4">
        <v>974500</v>
      </c>
      <c r="AE205" s="4">
        <v>1949000</v>
      </c>
      <c r="AF205" s="4">
        <v>2923500</v>
      </c>
      <c r="AG205" s="4">
        <v>3898000</v>
      </c>
      <c r="AH205" s="4">
        <v>4866293</v>
      </c>
      <c r="AI205" s="4">
        <v>5834586</v>
      </c>
      <c r="AJ205" s="4">
        <v>6793042</v>
      </c>
      <c r="AK205" s="4">
        <v>7751498</v>
      </c>
      <c r="AL205" s="4">
        <v>8709954</v>
      </c>
      <c r="AM205" s="4">
        <v>9668410</v>
      </c>
      <c r="AN205" s="154">
        <v>645590</v>
      </c>
    </row>
    <row r="206" spans="1:40" x14ac:dyDescent="0.2">
      <c r="A206" s="1">
        <v>2019</v>
      </c>
      <c r="B206" s="2" t="s">
        <v>226</v>
      </c>
      <c r="C206" s="2" t="s">
        <v>226</v>
      </c>
      <c r="D206" s="1" t="s">
        <v>577</v>
      </c>
      <c r="E206" s="3">
        <v>2284619</v>
      </c>
      <c r="F206" s="1">
        <v>614</v>
      </c>
      <c r="G206" s="3">
        <v>11051</v>
      </c>
      <c r="H206" s="1">
        <v>0</v>
      </c>
      <c r="I206" s="3">
        <v>2284005</v>
      </c>
      <c r="J206" s="3">
        <v>2272954</v>
      </c>
      <c r="K206" s="3">
        <v>2272954</v>
      </c>
      <c r="L206" s="3">
        <v>124002</v>
      </c>
      <c r="M206" s="3">
        <v>275168</v>
      </c>
      <c r="N206" s="3">
        <v>35395</v>
      </c>
      <c r="O206" s="3">
        <v>29383</v>
      </c>
      <c r="P206" s="3">
        <v>152196</v>
      </c>
      <c r="Q206" s="3">
        <v>1667861</v>
      </c>
      <c r="R206" s="3">
        <v>1656810</v>
      </c>
      <c r="S206" s="3">
        <v>1656810</v>
      </c>
      <c r="T206" s="3">
        <v>228401</v>
      </c>
      <c r="U206" s="3">
        <v>228401</v>
      </c>
      <c r="V206" s="3">
        <v>228401</v>
      </c>
      <c r="W206" s="3">
        <v>228401</v>
      </c>
      <c r="X206" s="3">
        <v>226558</v>
      </c>
      <c r="Y206" s="3">
        <v>226558</v>
      </c>
      <c r="Z206" s="4">
        <v>226559</v>
      </c>
      <c r="AA206" s="4">
        <v>226559</v>
      </c>
      <c r="AB206" s="4">
        <v>226559</v>
      </c>
      <c r="AC206" s="4">
        <v>226557</v>
      </c>
      <c r="AD206" s="4">
        <v>228401</v>
      </c>
      <c r="AE206" s="4">
        <v>456802</v>
      </c>
      <c r="AF206" s="4">
        <v>685203</v>
      </c>
      <c r="AG206" s="4">
        <v>913604</v>
      </c>
      <c r="AH206" s="4">
        <v>1140162</v>
      </c>
      <c r="AI206" s="4">
        <v>1366720</v>
      </c>
      <c r="AJ206" s="4">
        <v>1593279</v>
      </c>
      <c r="AK206" s="4">
        <v>1819838</v>
      </c>
      <c r="AL206" s="4">
        <v>2046397</v>
      </c>
      <c r="AM206" s="4">
        <v>2272954</v>
      </c>
      <c r="AN206" s="154">
        <v>206590</v>
      </c>
    </row>
    <row r="207" spans="1:40" x14ac:dyDescent="0.2">
      <c r="A207" s="1">
        <v>2019</v>
      </c>
      <c r="B207" s="2" t="s">
        <v>227</v>
      </c>
      <c r="C207" s="2" t="s">
        <v>227</v>
      </c>
      <c r="D207" s="1" t="s">
        <v>578</v>
      </c>
      <c r="E207" s="3">
        <v>5150810</v>
      </c>
      <c r="F207" s="3">
        <v>1028</v>
      </c>
      <c r="G207" s="3">
        <v>23970</v>
      </c>
      <c r="H207" s="1">
        <v>0</v>
      </c>
      <c r="I207" s="3">
        <v>5149782</v>
      </c>
      <c r="J207" s="3">
        <v>5125812</v>
      </c>
      <c r="K207" s="3">
        <v>5125812</v>
      </c>
      <c r="L207" s="3">
        <v>207788</v>
      </c>
      <c r="M207" s="3">
        <v>561404</v>
      </c>
      <c r="N207" s="3">
        <v>50945</v>
      </c>
      <c r="O207" s="3">
        <v>62249</v>
      </c>
      <c r="P207" s="3">
        <v>313309</v>
      </c>
      <c r="Q207" s="3">
        <v>3954087</v>
      </c>
      <c r="R207" s="3">
        <v>3930117</v>
      </c>
      <c r="S207" s="3">
        <v>3930117</v>
      </c>
      <c r="T207" s="3">
        <v>514978</v>
      </c>
      <c r="U207" s="3">
        <v>514978</v>
      </c>
      <c r="V207" s="3">
        <v>514978</v>
      </c>
      <c r="W207" s="3">
        <v>514978</v>
      </c>
      <c r="X207" s="3">
        <v>510983</v>
      </c>
      <c r="Y207" s="3">
        <v>510983</v>
      </c>
      <c r="Z207" s="4">
        <v>510984</v>
      </c>
      <c r="AA207" s="4">
        <v>510984</v>
      </c>
      <c r="AB207" s="4">
        <v>510984</v>
      </c>
      <c r="AC207" s="4">
        <v>510982</v>
      </c>
      <c r="AD207" s="4">
        <v>514978</v>
      </c>
      <c r="AE207" s="4">
        <v>1029956</v>
      </c>
      <c r="AF207" s="4">
        <v>1544934</v>
      </c>
      <c r="AG207" s="4">
        <v>2059912</v>
      </c>
      <c r="AH207" s="4">
        <v>2570895</v>
      </c>
      <c r="AI207" s="4">
        <v>3081878</v>
      </c>
      <c r="AJ207" s="4">
        <v>3592862</v>
      </c>
      <c r="AK207" s="4">
        <v>4103846</v>
      </c>
      <c r="AL207" s="4">
        <v>4614830</v>
      </c>
      <c r="AM207" s="4">
        <v>5125812</v>
      </c>
      <c r="AN207" s="154">
        <v>442433</v>
      </c>
    </row>
    <row r="208" spans="1:40" x14ac:dyDescent="0.2">
      <c r="A208" s="1">
        <v>2019</v>
      </c>
      <c r="B208" s="2" t="s">
        <v>228</v>
      </c>
      <c r="C208" s="2" t="s">
        <v>228</v>
      </c>
      <c r="D208" s="1" t="s">
        <v>579</v>
      </c>
      <c r="E208" s="3">
        <v>3249295</v>
      </c>
      <c r="F208" s="1">
        <v>232</v>
      </c>
      <c r="G208" s="3">
        <v>12529</v>
      </c>
      <c r="H208" s="3">
        <v>11520</v>
      </c>
      <c r="I208" s="3">
        <v>3249063</v>
      </c>
      <c r="J208" s="3">
        <v>3236534</v>
      </c>
      <c r="K208" s="3">
        <v>3225014</v>
      </c>
      <c r="L208" s="3">
        <v>46920</v>
      </c>
      <c r="M208" s="3">
        <v>301517</v>
      </c>
      <c r="N208" s="3">
        <v>35935</v>
      </c>
      <c r="O208" s="3">
        <v>31741</v>
      </c>
      <c r="P208" s="3">
        <v>163772</v>
      </c>
      <c r="Q208" s="3">
        <v>2669178</v>
      </c>
      <c r="R208" s="3">
        <v>2656649</v>
      </c>
      <c r="S208" s="3">
        <v>2645129</v>
      </c>
      <c r="T208" s="3">
        <v>324906</v>
      </c>
      <c r="U208" s="3">
        <v>324906</v>
      </c>
      <c r="V208" s="3">
        <v>324906</v>
      </c>
      <c r="W208" s="3">
        <v>324906</v>
      </c>
      <c r="X208" s="3">
        <v>322818</v>
      </c>
      <c r="Y208" s="3">
        <v>322818</v>
      </c>
      <c r="Z208" s="4">
        <v>319939</v>
      </c>
      <c r="AA208" s="4">
        <v>319939</v>
      </c>
      <c r="AB208" s="4">
        <v>319939</v>
      </c>
      <c r="AC208" s="4">
        <v>319937</v>
      </c>
      <c r="AD208" s="4">
        <v>324906</v>
      </c>
      <c r="AE208" s="4">
        <v>649812</v>
      </c>
      <c r="AF208" s="4">
        <v>974718</v>
      </c>
      <c r="AG208" s="4">
        <v>1299624</v>
      </c>
      <c r="AH208" s="4">
        <v>1622442</v>
      </c>
      <c r="AI208" s="4">
        <v>1945260</v>
      </c>
      <c r="AJ208" s="4">
        <v>2265199</v>
      </c>
      <c r="AK208" s="4">
        <v>2585138</v>
      </c>
      <c r="AL208" s="4">
        <v>2905077</v>
      </c>
      <c r="AM208" s="4">
        <v>3225014</v>
      </c>
      <c r="AN208" s="154">
        <v>218568</v>
      </c>
    </row>
    <row r="209" spans="1:40" x14ac:dyDescent="0.2">
      <c r="A209" s="1">
        <v>2019</v>
      </c>
      <c r="B209" s="2" t="s">
        <v>229</v>
      </c>
      <c r="C209" s="2" t="s">
        <v>229</v>
      </c>
      <c r="D209" s="1" t="s">
        <v>580</v>
      </c>
      <c r="E209" s="3">
        <v>20624503</v>
      </c>
      <c r="F209" s="3">
        <v>1509</v>
      </c>
      <c r="G209" s="3">
        <v>76827</v>
      </c>
      <c r="H209" s="1">
        <v>0</v>
      </c>
      <c r="I209" s="3">
        <v>20622994</v>
      </c>
      <c r="J209" s="3">
        <v>20546167</v>
      </c>
      <c r="K209" s="3">
        <v>20546167</v>
      </c>
      <c r="L209" s="3">
        <v>304979</v>
      </c>
      <c r="M209" s="3">
        <v>1750719</v>
      </c>
      <c r="N209" s="3">
        <v>228032</v>
      </c>
      <c r="O209" s="3">
        <v>194784</v>
      </c>
      <c r="P209" s="3">
        <v>1004216</v>
      </c>
      <c r="Q209" s="3">
        <v>17140264</v>
      </c>
      <c r="R209" s="3">
        <v>17063437</v>
      </c>
      <c r="S209" s="3">
        <v>17063437</v>
      </c>
      <c r="T209" s="3">
        <v>2062299</v>
      </c>
      <c r="U209" s="3">
        <v>2062299</v>
      </c>
      <c r="V209" s="3">
        <v>2062299</v>
      </c>
      <c r="W209" s="3">
        <v>2062299</v>
      </c>
      <c r="X209" s="3">
        <v>2049495</v>
      </c>
      <c r="Y209" s="3">
        <v>2049495</v>
      </c>
      <c r="Z209" s="4">
        <v>2049495</v>
      </c>
      <c r="AA209" s="4">
        <v>2049495</v>
      </c>
      <c r="AB209" s="4">
        <v>2049495</v>
      </c>
      <c r="AC209" s="4">
        <v>2049496</v>
      </c>
      <c r="AD209" s="4">
        <v>2062299</v>
      </c>
      <c r="AE209" s="4">
        <v>4124598</v>
      </c>
      <c r="AF209" s="4">
        <v>6186897</v>
      </c>
      <c r="AG209" s="4">
        <v>8249196</v>
      </c>
      <c r="AH209" s="4">
        <v>10298691</v>
      </c>
      <c r="AI209" s="4">
        <v>12348186</v>
      </c>
      <c r="AJ209" s="4">
        <v>14397681</v>
      </c>
      <c r="AK209" s="4">
        <v>16447176</v>
      </c>
      <c r="AL209" s="4">
        <v>18496671</v>
      </c>
      <c r="AM209" s="4">
        <v>20546167</v>
      </c>
      <c r="AN209" s="154">
        <v>1302127</v>
      </c>
    </row>
    <row r="210" spans="1:40" x14ac:dyDescent="0.2">
      <c r="A210" s="1">
        <v>2019</v>
      </c>
      <c r="B210" s="2" t="s">
        <v>230</v>
      </c>
      <c r="C210" s="2" t="s">
        <v>230</v>
      </c>
      <c r="D210" s="1" t="s">
        <v>581</v>
      </c>
      <c r="E210" s="3">
        <v>4638729</v>
      </c>
      <c r="F210" s="1">
        <v>779</v>
      </c>
      <c r="G210" s="3">
        <v>20358</v>
      </c>
      <c r="H210" s="3">
        <v>0</v>
      </c>
      <c r="I210" s="3">
        <v>4637950</v>
      </c>
      <c r="J210" s="3">
        <v>4617592</v>
      </c>
      <c r="K210" s="3">
        <v>4617592</v>
      </c>
      <c r="L210" s="3">
        <v>157517</v>
      </c>
      <c r="M210" s="3">
        <v>497721</v>
      </c>
      <c r="N210" s="3">
        <v>51092</v>
      </c>
      <c r="O210" s="3">
        <v>55868</v>
      </c>
      <c r="P210" s="3">
        <v>266098</v>
      </c>
      <c r="Q210" s="3">
        <v>3609654</v>
      </c>
      <c r="R210" s="3">
        <v>3589296</v>
      </c>
      <c r="S210" s="3">
        <v>3589296</v>
      </c>
      <c r="T210" s="3">
        <v>463795</v>
      </c>
      <c r="U210" s="3">
        <v>463795</v>
      </c>
      <c r="V210" s="3">
        <v>463795</v>
      </c>
      <c r="W210" s="3">
        <v>463795</v>
      </c>
      <c r="X210" s="3">
        <v>460402</v>
      </c>
      <c r="Y210" s="3">
        <v>460402</v>
      </c>
      <c r="Z210" s="4">
        <v>460402</v>
      </c>
      <c r="AA210" s="4">
        <v>460402</v>
      </c>
      <c r="AB210" s="4">
        <v>460402</v>
      </c>
      <c r="AC210" s="4">
        <v>460402</v>
      </c>
      <c r="AD210" s="4">
        <v>463795</v>
      </c>
      <c r="AE210" s="4">
        <v>927590</v>
      </c>
      <c r="AF210" s="4">
        <v>1391385</v>
      </c>
      <c r="AG210" s="4">
        <v>1855180</v>
      </c>
      <c r="AH210" s="4">
        <v>2315582</v>
      </c>
      <c r="AI210" s="4">
        <v>2775984</v>
      </c>
      <c r="AJ210" s="4">
        <v>3236386</v>
      </c>
      <c r="AK210" s="4">
        <v>3696788</v>
      </c>
      <c r="AL210" s="4">
        <v>4157190</v>
      </c>
      <c r="AM210" s="4">
        <v>4617592</v>
      </c>
      <c r="AN210" s="154">
        <v>374216</v>
      </c>
    </row>
    <row r="211" spans="1:40" x14ac:dyDescent="0.2">
      <c r="A211" s="1">
        <v>2019</v>
      </c>
      <c r="B211" s="2" t="s">
        <v>231</v>
      </c>
      <c r="C211" s="2" t="s">
        <v>231</v>
      </c>
      <c r="D211" s="1" t="s">
        <v>582</v>
      </c>
      <c r="E211" s="3">
        <v>2848851</v>
      </c>
      <c r="F211" s="3">
        <v>547</v>
      </c>
      <c r="G211" s="3">
        <v>12897</v>
      </c>
      <c r="H211" s="1">
        <v>0</v>
      </c>
      <c r="I211" s="3">
        <v>2848304</v>
      </c>
      <c r="J211" s="3">
        <v>2835407</v>
      </c>
      <c r="K211" s="3">
        <v>2835407</v>
      </c>
      <c r="L211" s="3">
        <v>110597</v>
      </c>
      <c r="M211" s="3">
        <v>326846</v>
      </c>
      <c r="N211" s="3">
        <v>39494</v>
      </c>
      <c r="O211" s="3">
        <v>36850</v>
      </c>
      <c r="P211" s="3">
        <v>169620</v>
      </c>
      <c r="Q211" s="3">
        <v>2164897</v>
      </c>
      <c r="R211" s="3">
        <v>2152000</v>
      </c>
      <c r="S211" s="3">
        <v>2152000</v>
      </c>
      <c r="T211" s="3">
        <v>284830</v>
      </c>
      <c r="U211" s="3">
        <v>284830</v>
      </c>
      <c r="V211" s="3">
        <v>284830</v>
      </c>
      <c r="W211" s="3">
        <v>284830</v>
      </c>
      <c r="X211" s="3">
        <v>282681</v>
      </c>
      <c r="Y211" s="3">
        <v>282681</v>
      </c>
      <c r="Z211" s="4">
        <v>282681</v>
      </c>
      <c r="AA211" s="4">
        <v>282681</v>
      </c>
      <c r="AB211" s="4">
        <v>282681</v>
      </c>
      <c r="AC211" s="4">
        <v>282682</v>
      </c>
      <c r="AD211" s="4">
        <v>284830</v>
      </c>
      <c r="AE211" s="4">
        <v>569660</v>
      </c>
      <c r="AF211" s="4">
        <v>854490</v>
      </c>
      <c r="AG211" s="4">
        <v>1139320</v>
      </c>
      <c r="AH211" s="4">
        <v>1422001</v>
      </c>
      <c r="AI211" s="4">
        <v>1704682</v>
      </c>
      <c r="AJ211" s="4">
        <v>1987363</v>
      </c>
      <c r="AK211" s="4">
        <v>2270044</v>
      </c>
      <c r="AL211" s="4">
        <v>2552725</v>
      </c>
      <c r="AM211" s="4">
        <v>2835407</v>
      </c>
      <c r="AN211" s="154">
        <v>221444</v>
      </c>
    </row>
    <row r="212" spans="1:40" x14ac:dyDescent="0.2">
      <c r="A212" s="1">
        <v>2019</v>
      </c>
      <c r="B212" s="2" t="s">
        <v>232</v>
      </c>
      <c r="C212" s="2" t="s">
        <v>232</v>
      </c>
      <c r="D212" s="1" t="s">
        <v>810</v>
      </c>
      <c r="E212" s="3">
        <v>7794728</v>
      </c>
      <c r="F212" s="3">
        <v>1144</v>
      </c>
      <c r="G212" s="3">
        <v>28328</v>
      </c>
      <c r="H212" s="1">
        <v>0</v>
      </c>
      <c r="I212" s="3">
        <v>7793584</v>
      </c>
      <c r="J212" s="3">
        <v>7765256</v>
      </c>
      <c r="K212" s="3">
        <v>7765256</v>
      </c>
      <c r="L212" s="3">
        <v>231248</v>
      </c>
      <c r="M212" s="3">
        <v>669709</v>
      </c>
      <c r="N212" s="3">
        <v>73013</v>
      </c>
      <c r="O212" s="3">
        <v>73206</v>
      </c>
      <c r="P212" s="3">
        <v>370284</v>
      </c>
      <c r="Q212" s="3">
        <v>6376124</v>
      </c>
      <c r="R212" s="3">
        <v>6347796</v>
      </c>
      <c r="S212" s="3">
        <v>6347796</v>
      </c>
      <c r="T212" s="3">
        <v>779358</v>
      </c>
      <c r="U212" s="3">
        <v>779358</v>
      </c>
      <c r="V212" s="3">
        <v>779358</v>
      </c>
      <c r="W212" s="3">
        <v>779358</v>
      </c>
      <c r="X212" s="3">
        <v>774637</v>
      </c>
      <c r="Y212" s="3">
        <v>774637</v>
      </c>
      <c r="Z212" s="4">
        <v>774638</v>
      </c>
      <c r="AA212" s="4">
        <v>774638</v>
      </c>
      <c r="AB212" s="4">
        <v>774638</v>
      </c>
      <c r="AC212" s="4">
        <v>774636</v>
      </c>
      <c r="AD212" s="4">
        <v>779358</v>
      </c>
      <c r="AE212" s="4">
        <v>1558716</v>
      </c>
      <c r="AF212" s="4">
        <v>2338074</v>
      </c>
      <c r="AG212" s="4">
        <v>3117432</v>
      </c>
      <c r="AH212" s="4">
        <v>3892069</v>
      </c>
      <c r="AI212" s="4">
        <v>4666706</v>
      </c>
      <c r="AJ212" s="4">
        <v>5441344</v>
      </c>
      <c r="AK212" s="4">
        <v>6215982</v>
      </c>
      <c r="AL212" s="4">
        <v>6990620</v>
      </c>
      <c r="AM212" s="4">
        <v>7765256</v>
      </c>
      <c r="AN212" s="154">
        <v>533626</v>
      </c>
    </row>
    <row r="213" spans="1:40" x14ac:dyDescent="0.2">
      <c r="A213" s="1">
        <v>2019</v>
      </c>
      <c r="B213" s="2" t="s">
        <v>233</v>
      </c>
      <c r="C213" s="2" t="s">
        <v>233</v>
      </c>
      <c r="D213" s="1" t="s">
        <v>583</v>
      </c>
      <c r="E213" s="3">
        <v>572425</v>
      </c>
      <c r="F213" s="3">
        <v>100</v>
      </c>
      <c r="G213" s="3">
        <v>4766</v>
      </c>
      <c r="H213" s="1">
        <v>0</v>
      </c>
      <c r="I213" s="3">
        <v>572325</v>
      </c>
      <c r="J213" s="3">
        <v>567559</v>
      </c>
      <c r="K213" s="3">
        <v>567559</v>
      </c>
      <c r="L213" s="3">
        <v>20108</v>
      </c>
      <c r="M213" s="3">
        <v>128974</v>
      </c>
      <c r="N213" s="3">
        <v>12937</v>
      </c>
      <c r="O213" s="3">
        <v>13823</v>
      </c>
      <c r="P213" s="3">
        <v>63135</v>
      </c>
      <c r="Q213" s="3">
        <v>333348</v>
      </c>
      <c r="R213" s="3">
        <v>328582</v>
      </c>
      <c r="S213" s="3">
        <v>328582</v>
      </c>
      <c r="T213" s="3">
        <v>57233</v>
      </c>
      <c r="U213" s="3">
        <v>57233</v>
      </c>
      <c r="V213" s="3">
        <v>57233</v>
      </c>
      <c r="W213" s="3">
        <v>57233</v>
      </c>
      <c r="X213" s="3">
        <v>56438</v>
      </c>
      <c r="Y213" s="3">
        <v>56438</v>
      </c>
      <c r="Z213" s="4">
        <v>56438</v>
      </c>
      <c r="AA213" s="4">
        <v>56438</v>
      </c>
      <c r="AB213" s="4">
        <v>56438</v>
      </c>
      <c r="AC213" s="4">
        <v>56437</v>
      </c>
      <c r="AD213" s="4">
        <v>57233</v>
      </c>
      <c r="AE213" s="4">
        <v>114466</v>
      </c>
      <c r="AF213" s="4">
        <v>171699</v>
      </c>
      <c r="AG213" s="4">
        <v>228932</v>
      </c>
      <c r="AH213" s="4">
        <v>285370</v>
      </c>
      <c r="AI213" s="4">
        <v>341808</v>
      </c>
      <c r="AJ213" s="4">
        <v>398246</v>
      </c>
      <c r="AK213" s="4">
        <v>454684</v>
      </c>
      <c r="AL213" s="4">
        <v>511122</v>
      </c>
      <c r="AM213" s="4">
        <v>567559</v>
      </c>
      <c r="AN213" s="154">
        <v>98916</v>
      </c>
    </row>
    <row r="214" spans="1:40" x14ac:dyDescent="0.2">
      <c r="A214" s="1">
        <v>2019</v>
      </c>
      <c r="B214" s="2" t="s">
        <v>234</v>
      </c>
      <c r="C214" s="2" t="s">
        <v>234</v>
      </c>
      <c r="D214" s="1" t="s">
        <v>584</v>
      </c>
      <c r="E214" s="3">
        <v>2664549</v>
      </c>
      <c r="F214" s="1">
        <v>498</v>
      </c>
      <c r="G214" s="3">
        <v>11698</v>
      </c>
      <c r="H214" s="1">
        <v>0</v>
      </c>
      <c r="I214" s="3">
        <v>2664051</v>
      </c>
      <c r="J214" s="3">
        <v>2652353</v>
      </c>
      <c r="K214" s="3">
        <v>2652353</v>
      </c>
      <c r="L214" s="3">
        <v>100542</v>
      </c>
      <c r="M214" s="3">
        <v>307575</v>
      </c>
      <c r="N214" s="3">
        <v>38681</v>
      </c>
      <c r="O214" s="3">
        <v>33016</v>
      </c>
      <c r="P214" s="3">
        <v>164706</v>
      </c>
      <c r="Q214" s="3">
        <v>2019531</v>
      </c>
      <c r="R214" s="3">
        <v>2007833</v>
      </c>
      <c r="S214" s="3">
        <v>2007833</v>
      </c>
      <c r="T214" s="3">
        <v>266405</v>
      </c>
      <c r="U214" s="3">
        <v>266405</v>
      </c>
      <c r="V214" s="3">
        <v>266405</v>
      </c>
      <c r="W214" s="3">
        <v>266405</v>
      </c>
      <c r="X214" s="3">
        <v>264456</v>
      </c>
      <c r="Y214" s="3">
        <v>264456</v>
      </c>
      <c r="Z214" s="4">
        <v>264455</v>
      </c>
      <c r="AA214" s="4">
        <v>264455</v>
      </c>
      <c r="AB214" s="4">
        <v>264455</v>
      </c>
      <c r="AC214" s="4">
        <v>264456</v>
      </c>
      <c r="AD214" s="4">
        <v>266405</v>
      </c>
      <c r="AE214" s="4">
        <v>532810</v>
      </c>
      <c r="AF214" s="4">
        <v>799215</v>
      </c>
      <c r="AG214" s="4">
        <v>1065620</v>
      </c>
      <c r="AH214" s="4">
        <v>1330076</v>
      </c>
      <c r="AI214" s="4">
        <v>1594532</v>
      </c>
      <c r="AJ214" s="4">
        <v>1858987</v>
      </c>
      <c r="AK214" s="4">
        <v>2123442</v>
      </c>
      <c r="AL214" s="4">
        <v>2387897</v>
      </c>
      <c r="AM214" s="4">
        <v>2652353</v>
      </c>
      <c r="AN214" s="154">
        <v>220513</v>
      </c>
    </row>
    <row r="215" spans="1:40" x14ac:dyDescent="0.2">
      <c r="A215" s="1">
        <v>2019</v>
      </c>
      <c r="B215" s="2" t="s">
        <v>235</v>
      </c>
      <c r="C215" s="2" t="s">
        <v>235</v>
      </c>
      <c r="D215" s="1" t="s">
        <v>585</v>
      </c>
      <c r="E215" s="3">
        <v>3449066</v>
      </c>
      <c r="F215" s="1">
        <v>614</v>
      </c>
      <c r="G215" s="3">
        <v>15217</v>
      </c>
      <c r="H215" s="1">
        <v>0</v>
      </c>
      <c r="I215" s="3">
        <v>3448452</v>
      </c>
      <c r="J215" s="3">
        <v>3433235</v>
      </c>
      <c r="K215" s="3">
        <v>3433235</v>
      </c>
      <c r="L215" s="3">
        <v>124002</v>
      </c>
      <c r="M215" s="3">
        <v>362425</v>
      </c>
      <c r="N215" s="3">
        <v>37606</v>
      </c>
      <c r="O215" s="3">
        <v>37780</v>
      </c>
      <c r="P215" s="3">
        <v>207281</v>
      </c>
      <c r="Q215" s="3">
        <v>2679358</v>
      </c>
      <c r="R215" s="3">
        <v>2664141</v>
      </c>
      <c r="S215" s="3">
        <v>2664141</v>
      </c>
      <c r="T215" s="3">
        <v>344845</v>
      </c>
      <c r="U215" s="3">
        <v>344845</v>
      </c>
      <c r="V215" s="3">
        <v>344845</v>
      </c>
      <c r="W215" s="3">
        <v>344845</v>
      </c>
      <c r="X215" s="3">
        <v>342309</v>
      </c>
      <c r="Y215" s="3">
        <v>342309</v>
      </c>
      <c r="Z215" s="4">
        <v>342309</v>
      </c>
      <c r="AA215" s="4">
        <v>342309</v>
      </c>
      <c r="AB215" s="4">
        <v>342309</v>
      </c>
      <c r="AC215" s="4">
        <v>342310</v>
      </c>
      <c r="AD215" s="4">
        <v>344845</v>
      </c>
      <c r="AE215" s="4">
        <v>689690</v>
      </c>
      <c r="AF215" s="4">
        <v>1034535</v>
      </c>
      <c r="AG215" s="4">
        <v>1379380</v>
      </c>
      <c r="AH215" s="4">
        <v>1721689</v>
      </c>
      <c r="AI215" s="4">
        <v>2063998</v>
      </c>
      <c r="AJ215" s="4">
        <v>2406307</v>
      </c>
      <c r="AK215" s="4">
        <v>2748616</v>
      </c>
      <c r="AL215" s="4">
        <v>3090925</v>
      </c>
      <c r="AM215" s="4">
        <v>3433235</v>
      </c>
      <c r="AN215" s="154">
        <v>272739</v>
      </c>
    </row>
    <row r="216" spans="1:40" x14ac:dyDescent="0.2">
      <c r="A216" s="1">
        <v>2019</v>
      </c>
      <c r="B216" s="2" t="s">
        <v>236</v>
      </c>
      <c r="C216" s="2" t="s">
        <v>236</v>
      </c>
      <c r="D216" s="1" t="s">
        <v>586</v>
      </c>
      <c r="E216" s="3">
        <v>1173229</v>
      </c>
      <c r="F216" s="1">
        <v>365</v>
      </c>
      <c r="G216" s="3">
        <v>7039</v>
      </c>
      <c r="H216" s="1">
        <v>0</v>
      </c>
      <c r="I216" s="3">
        <v>1172864</v>
      </c>
      <c r="J216" s="3">
        <v>1165825</v>
      </c>
      <c r="K216" s="3">
        <v>1165825</v>
      </c>
      <c r="L216" s="3">
        <v>73731</v>
      </c>
      <c r="M216" s="3">
        <v>168519</v>
      </c>
      <c r="N216" s="3">
        <v>16832</v>
      </c>
      <c r="O216" s="3">
        <v>18852</v>
      </c>
      <c r="P216" s="3">
        <v>92008</v>
      </c>
      <c r="Q216" s="3">
        <v>802922</v>
      </c>
      <c r="R216" s="3">
        <v>795883</v>
      </c>
      <c r="S216" s="3">
        <v>795883</v>
      </c>
      <c r="T216" s="3">
        <v>117286</v>
      </c>
      <c r="U216" s="3">
        <v>117286</v>
      </c>
      <c r="V216" s="3">
        <v>117286</v>
      </c>
      <c r="W216" s="3">
        <v>117286</v>
      </c>
      <c r="X216" s="3">
        <v>116114</v>
      </c>
      <c r="Y216" s="3">
        <v>116114</v>
      </c>
      <c r="Z216" s="4">
        <v>116113</v>
      </c>
      <c r="AA216" s="4">
        <v>116113</v>
      </c>
      <c r="AB216" s="4">
        <v>116113</v>
      </c>
      <c r="AC216" s="4">
        <v>116114</v>
      </c>
      <c r="AD216" s="4">
        <v>117286</v>
      </c>
      <c r="AE216" s="4">
        <v>234572</v>
      </c>
      <c r="AF216" s="4">
        <v>351858</v>
      </c>
      <c r="AG216" s="4">
        <v>469144</v>
      </c>
      <c r="AH216" s="4">
        <v>585258</v>
      </c>
      <c r="AI216" s="4">
        <v>701372</v>
      </c>
      <c r="AJ216" s="4">
        <v>817485</v>
      </c>
      <c r="AK216" s="4">
        <v>933598</v>
      </c>
      <c r="AL216" s="4">
        <v>1049711</v>
      </c>
      <c r="AM216" s="4">
        <v>1165825</v>
      </c>
      <c r="AN216" s="154">
        <v>134924</v>
      </c>
    </row>
    <row r="217" spans="1:40" x14ac:dyDescent="0.2">
      <c r="A217" s="1">
        <v>2019</v>
      </c>
      <c r="B217" s="2" t="s">
        <v>237</v>
      </c>
      <c r="C217" s="2" t="s">
        <v>237</v>
      </c>
      <c r="D217" s="1" t="s">
        <v>587</v>
      </c>
      <c r="E217" s="3">
        <v>10243212</v>
      </c>
      <c r="F217" s="3">
        <v>1758</v>
      </c>
      <c r="G217" s="3">
        <v>42062</v>
      </c>
      <c r="H217" s="1">
        <v>0</v>
      </c>
      <c r="I217" s="3">
        <v>10241454</v>
      </c>
      <c r="J217" s="3">
        <v>10199392</v>
      </c>
      <c r="K217" s="3">
        <v>10199392</v>
      </c>
      <c r="L217" s="3">
        <v>355250</v>
      </c>
      <c r="M217" s="3">
        <v>909104</v>
      </c>
      <c r="N217" s="3">
        <v>93137</v>
      </c>
      <c r="O217" s="3">
        <v>94517</v>
      </c>
      <c r="P217" s="3">
        <v>549793</v>
      </c>
      <c r="Q217" s="3">
        <v>8239653</v>
      </c>
      <c r="R217" s="3">
        <v>8197591</v>
      </c>
      <c r="S217" s="3">
        <v>8197591</v>
      </c>
      <c r="T217" s="3">
        <v>1024145</v>
      </c>
      <c r="U217" s="3">
        <v>1024145</v>
      </c>
      <c r="V217" s="3">
        <v>1024145</v>
      </c>
      <c r="W217" s="3">
        <v>1024145</v>
      </c>
      <c r="X217" s="3">
        <v>1017135</v>
      </c>
      <c r="Y217" s="3">
        <v>1017135</v>
      </c>
      <c r="Z217" s="4">
        <v>1017136</v>
      </c>
      <c r="AA217" s="4">
        <v>1017136</v>
      </c>
      <c r="AB217" s="4">
        <v>1017136</v>
      </c>
      <c r="AC217" s="4">
        <v>1017134</v>
      </c>
      <c r="AD217" s="4">
        <v>1024145</v>
      </c>
      <c r="AE217" s="4">
        <v>2048290</v>
      </c>
      <c r="AF217" s="4">
        <v>3072435</v>
      </c>
      <c r="AG217" s="4">
        <v>4096580</v>
      </c>
      <c r="AH217" s="4">
        <v>5113715</v>
      </c>
      <c r="AI217" s="4">
        <v>6130850</v>
      </c>
      <c r="AJ217" s="4">
        <v>7147986</v>
      </c>
      <c r="AK217" s="4">
        <v>8165122</v>
      </c>
      <c r="AL217" s="4">
        <v>9182258</v>
      </c>
      <c r="AM217" s="4">
        <v>10199392</v>
      </c>
      <c r="AN217" s="154">
        <v>713968</v>
      </c>
    </row>
    <row r="218" spans="1:40" x14ac:dyDescent="0.2">
      <c r="A218" s="1">
        <v>2019</v>
      </c>
      <c r="B218" s="2" t="s">
        <v>238</v>
      </c>
      <c r="C218" s="2" t="s">
        <v>238</v>
      </c>
      <c r="D218" s="1" t="s">
        <v>588</v>
      </c>
      <c r="E218" s="3">
        <v>17249251</v>
      </c>
      <c r="F218" s="3">
        <v>2703</v>
      </c>
      <c r="G218" s="3">
        <v>75813</v>
      </c>
      <c r="H218" s="1">
        <v>0</v>
      </c>
      <c r="I218" s="3">
        <v>17246548</v>
      </c>
      <c r="J218" s="3">
        <v>17170735</v>
      </c>
      <c r="K218" s="3">
        <v>17170735</v>
      </c>
      <c r="L218" s="3">
        <v>546281</v>
      </c>
      <c r="M218" s="3">
        <v>1732162</v>
      </c>
      <c r="N218" s="3">
        <v>187235</v>
      </c>
      <c r="O218" s="3">
        <v>194216</v>
      </c>
      <c r="P218" s="3">
        <v>990960</v>
      </c>
      <c r="Q218" s="3">
        <v>13595694</v>
      </c>
      <c r="R218" s="3">
        <v>13519881</v>
      </c>
      <c r="S218" s="3">
        <v>13519881</v>
      </c>
      <c r="T218" s="3">
        <v>1724655</v>
      </c>
      <c r="U218" s="3">
        <v>1724655</v>
      </c>
      <c r="V218" s="3">
        <v>1724655</v>
      </c>
      <c r="W218" s="3">
        <v>1724655</v>
      </c>
      <c r="X218" s="3">
        <v>1712019</v>
      </c>
      <c r="Y218" s="3">
        <v>1712019</v>
      </c>
      <c r="Z218" s="4">
        <v>1712019</v>
      </c>
      <c r="AA218" s="4">
        <v>1712019</v>
      </c>
      <c r="AB218" s="4">
        <v>1712019</v>
      </c>
      <c r="AC218" s="4">
        <v>1712020</v>
      </c>
      <c r="AD218" s="4">
        <v>1724655</v>
      </c>
      <c r="AE218" s="4">
        <v>3449310</v>
      </c>
      <c r="AF218" s="4">
        <v>5173965</v>
      </c>
      <c r="AG218" s="4">
        <v>6898620</v>
      </c>
      <c r="AH218" s="4">
        <v>8610639</v>
      </c>
      <c r="AI218" s="4">
        <v>10322658</v>
      </c>
      <c r="AJ218" s="4">
        <v>12034677</v>
      </c>
      <c r="AK218" s="4">
        <v>13746696</v>
      </c>
      <c r="AL218" s="4">
        <v>15458715</v>
      </c>
      <c r="AM218" s="4">
        <v>17170735</v>
      </c>
      <c r="AN218" s="154">
        <v>1319381</v>
      </c>
    </row>
    <row r="219" spans="1:40" x14ac:dyDescent="0.2">
      <c r="A219" s="1">
        <v>2019</v>
      </c>
      <c r="B219" s="2" t="s">
        <v>239</v>
      </c>
      <c r="C219" s="2" t="s">
        <v>239</v>
      </c>
      <c r="D219" s="1" t="s">
        <v>589</v>
      </c>
      <c r="E219" s="3">
        <v>2488688</v>
      </c>
      <c r="F219" s="3">
        <v>348</v>
      </c>
      <c r="G219" s="3">
        <v>11116</v>
      </c>
      <c r="H219" s="1">
        <v>0</v>
      </c>
      <c r="I219" s="3">
        <v>2488340</v>
      </c>
      <c r="J219" s="3">
        <v>2477224</v>
      </c>
      <c r="K219" s="3">
        <v>2477224</v>
      </c>
      <c r="L219" s="3">
        <v>70380</v>
      </c>
      <c r="M219" s="3">
        <v>285913</v>
      </c>
      <c r="N219" s="3">
        <v>28916</v>
      </c>
      <c r="O219" s="3">
        <v>30572</v>
      </c>
      <c r="P219" s="3">
        <v>145293</v>
      </c>
      <c r="Q219" s="3">
        <v>1927266</v>
      </c>
      <c r="R219" s="3">
        <v>1916150</v>
      </c>
      <c r="S219" s="3">
        <v>1916150</v>
      </c>
      <c r="T219" s="3">
        <v>248834</v>
      </c>
      <c r="U219" s="3">
        <v>248834</v>
      </c>
      <c r="V219" s="3">
        <v>248834</v>
      </c>
      <c r="W219" s="3">
        <v>248834</v>
      </c>
      <c r="X219" s="3">
        <v>246981</v>
      </c>
      <c r="Y219" s="3">
        <v>246981</v>
      </c>
      <c r="Z219" s="4">
        <v>246982</v>
      </c>
      <c r="AA219" s="4">
        <v>246982</v>
      </c>
      <c r="AB219" s="4">
        <v>246982</v>
      </c>
      <c r="AC219" s="4">
        <v>246980</v>
      </c>
      <c r="AD219" s="4">
        <v>248834</v>
      </c>
      <c r="AE219" s="4">
        <v>497668</v>
      </c>
      <c r="AF219" s="4">
        <v>746502</v>
      </c>
      <c r="AG219" s="4">
        <v>995336</v>
      </c>
      <c r="AH219" s="4">
        <v>1242317</v>
      </c>
      <c r="AI219" s="4">
        <v>1489298</v>
      </c>
      <c r="AJ219" s="4">
        <v>1736280</v>
      </c>
      <c r="AK219" s="4">
        <v>1983262</v>
      </c>
      <c r="AL219" s="4">
        <v>2230244</v>
      </c>
      <c r="AM219" s="4">
        <v>2477224</v>
      </c>
      <c r="AN219" s="154">
        <v>209377</v>
      </c>
    </row>
    <row r="220" spans="1:40" x14ac:dyDescent="0.2">
      <c r="A220" s="1">
        <v>2019</v>
      </c>
      <c r="B220" s="2" t="s">
        <v>240</v>
      </c>
      <c r="C220" s="2" t="s">
        <v>240</v>
      </c>
      <c r="D220" s="1" t="s">
        <v>590</v>
      </c>
      <c r="E220" s="3">
        <v>1393127</v>
      </c>
      <c r="F220" s="3">
        <v>133</v>
      </c>
      <c r="G220" s="3">
        <v>6894</v>
      </c>
      <c r="H220" s="1">
        <v>0</v>
      </c>
      <c r="I220" s="3">
        <v>1392994</v>
      </c>
      <c r="J220" s="3">
        <v>1386100</v>
      </c>
      <c r="K220" s="3">
        <v>1386100</v>
      </c>
      <c r="L220" s="3">
        <v>26811</v>
      </c>
      <c r="M220" s="3">
        <v>152863</v>
      </c>
      <c r="N220" s="3">
        <v>19766</v>
      </c>
      <c r="O220" s="3">
        <v>13958</v>
      </c>
      <c r="P220" s="3">
        <v>91582</v>
      </c>
      <c r="Q220" s="3">
        <v>1088014</v>
      </c>
      <c r="R220" s="3">
        <v>1081120</v>
      </c>
      <c r="S220" s="3">
        <v>1081120</v>
      </c>
      <c r="T220" s="3">
        <v>139299</v>
      </c>
      <c r="U220" s="3">
        <v>139299</v>
      </c>
      <c r="V220" s="3">
        <v>139299</v>
      </c>
      <c r="W220" s="3">
        <v>139299</v>
      </c>
      <c r="X220" s="3">
        <v>138151</v>
      </c>
      <c r="Y220" s="3">
        <v>138151</v>
      </c>
      <c r="Z220" s="4">
        <v>138151</v>
      </c>
      <c r="AA220" s="4">
        <v>138151</v>
      </c>
      <c r="AB220" s="4">
        <v>138151</v>
      </c>
      <c r="AC220" s="4">
        <v>138149</v>
      </c>
      <c r="AD220" s="4">
        <v>139299</v>
      </c>
      <c r="AE220" s="4">
        <v>278598</v>
      </c>
      <c r="AF220" s="4">
        <v>417897</v>
      </c>
      <c r="AG220" s="4">
        <v>557196</v>
      </c>
      <c r="AH220" s="4">
        <v>695347</v>
      </c>
      <c r="AI220" s="4">
        <v>833498</v>
      </c>
      <c r="AJ220" s="4">
        <v>971649</v>
      </c>
      <c r="AK220" s="4">
        <v>1109800</v>
      </c>
      <c r="AL220" s="4">
        <v>1247951</v>
      </c>
      <c r="AM220" s="4">
        <v>1386100</v>
      </c>
      <c r="AN220" s="154">
        <v>123811</v>
      </c>
    </row>
    <row r="221" spans="1:40" x14ac:dyDescent="0.2">
      <c r="A221" s="1">
        <v>2019</v>
      </c>
      <c r="B221" s="2" t="s">
        <v>241</v>
      </c>
      <c r="C221" s="2" t="s">
        <v>241</v>
      </c>
      <c r="D221" s="1" t="s">
        <v>591</v>
      </c>
      <c r="E221" s="3">
        <v>2761911</v>
      </c>
      <c r="F221" s="1">
        <v>580</v>
      </c>
      <c r="G221" s="3">
        <v>12692</v>
      </c>
      <c r="H221" s="1">
        <v>0</v>
      </c>
      <c r="I221" s="3">
        <v>2761331</v>
      </c>
      <c r="J221" s="3">
        <v>2748639</v>
      </c>
      <c r="K221" s="3">
        <v>2748639</v>
      </c>
      <c r="L221" s="3">
        <v>117300</v>
      </c>
      <c r="M221" s="3">
        <v>292091</v>
      </c>
      <c r="N221" s="3">
        <v>28845</v>
      </c>
      <c r="O221" s="3">
        <v>33463</v>
      </c>
      <c r="P221" s="3">
        <v>165895</v>
      </c>
      <c r="Q221" s="3">
        <v>2123737</v>
      </c>
      <c r="R221" s="3">
        <v>2111045</v>
      </c>
      <c r="S221" s="3">
        <v>2111045</v>
      </c>
      <c r="T221" s="3">
        <v>276133</v>
      </c>
      <c r="U221" s="3">
        <v>276133</v>
      </c>
      <c r="V221" s="3">
        <v>276133</v>
      </c>
      <c r="W221" s="3">
        <v>276133</v>
      </c>
      <c r="X221" s="3">
        <v>274018</v>
      </c>
      <c r="Y221" s="3">
        <v>274018</v>
      </c>
      <c r="Z221" s="4">
        <v>274018</v>
      </c>
      <c r="AA221" s="4">
        <v>274018</v>
      </c>
      <c r="AB221" s="4">
        <v>274018</v>
      </c>
      <c r="AC221" s="4">
        <v>274017</v>
      </c>
      <c r="AD221" s="4">
        <v>276133</v>
      </c>
      <c r="AE221" s="4">
        <v>552266</v>
      </c>
      <c r="AF221" s="4">
        <v>828399</v>
      </c>
      <c r="AG221" s="4">
        <v>1104532</v>
      </c>
      <c r="AH221" s="4">
        <v>1378550</v>
      </c>
      <c r="AI221" s="4">
        <v>1652568</v>
      </c>
      <c r="AJ221" s="4">
        <v>1926586</v>
      </c>
      <c r="AK221" s="4">
        <v>2200604</v>
      </c>
      <c r="AL221" s="4">
        <v>2474622</v>
      </c>
      <c r="AM221" s="4">
        <v>2748639</v>
      </c>
      <c r="AN221" s="154">
        <v>226773</v>
      </c>
    </row>
    <row r="222" spans="1:40" x14ac:dyDescent="0.2">
      <c r="A222" s="1">
        <v>2019</v>
      </c>
      <c r="B222" s="2" t="s">
        <v>242</v>
      </c>
      <c r="C222" s="2" t="s">
        <v>242</v>
      </c>
      <c r="D222" s="1" t="s">
        <v>592</v>
      </c>
      <c r="E222" s="3">
        <v>19680081</v>
      </c>
      <c r="F222" s="3">
        <v>2040</v>
      </c>
      <c r="G222" s="3">
        <v>70720</v>
      </c>
      <c r="H222" s="1">
        <v>0</v>
      </c>
      <c r="I222" s="3">
        <v>19678041</v>
      </c>
      <c r="J222" s="3">
        <v>19607321</v>
      </c>
      <c r="K222" s="3">
        <v>19607321</v>
      </c>
      <c r="L222" s="3">
        <v>412224</v>
      </c>
      <c r="M222" s="3">
        <v>1658036</v>
      </c>
      <c r="N222" s="3">
        <v>173213</v>
      </c>
      <c r="O222" s="3">
        <v>173637</v>
      </c>
      <c r="P222" s="3">
        <v>924387</v>
      </c>
      <c r="Q222" s="3">
        <v>16336544</v>
      </c>
      <c r="R222" s="3">
        <v>16265824</v>
      </c>
      <c r="S222" s="3">
        <v>16265824</v>
      </c>
      <c r="T222" s="3">
        <v>1967804</v>
      </c>
      <c r="U222" s="3">
        <v>1967804</v>
      </c>
      <c r="V222" s="3">
        <v>1967804</v>
      </c>
      <c r="W222" s="3">
        <v>1967804</v>
      </c>
      <c r="X222" s="3">
        <v>1956018</v>
      </c>
      <c r="Y222" s="3">
        <v>1956018</v>
      </c>
      <c r="Z222" s="4">
        <v>1956017</v>
      </c>
      <c r="AA222" s="4">
        <v>1956017</v>
      </c>
      <c r="AB222" s="4">
        <v>1956017</v>
      </c>
      <c r="AC222" s="4">
        <v>1956018</v>
      </c>
      <c r="AD222" s="4">
        <v>1967804</v>
      </c>
      <c r="AE222" s="4">
        <v>3935608</v>
      </c>
      <c r="AF222" s="4">
        <v>5903412</v>
      </c>
      <c r="AG222" s="4">
        <v>7871216</v>
      </c>
      <c r="AH222" s="4">
        <v>9827234</v>
      </c>
      <c r="AI222" s="4">
        <v>11783252</v>
      </c>
      <c r="AJ222" s="4">
        <v>13739269</v>
      </c>
      <c r="AK222" s="4">
        <v>15695286</v>
      </c>
      <c r="AL222" s="4">
        <v>17651303</v>
      </c>
      <c r="AM222" s="4">
        <v>19607321</v>
      </c>
      <c r="AN222" s="154">
        <v>1223287</v>
      </c>
    </row>
    <row r="223" spans="1:40" x14ac:dyDescent="0.2">
      <c r="A223" s="1">
        <v>2019</v>
      </c>
      <c r="B223" s="2" t="s">
        <v>243</v>
      </c>
      <c r="C223" s="2" t="s">
        <v>702</v>
      </c>
      <c r="D223" s="1" t="s">
        <v>593</v>
      </c>
      <c r="E223" s="3">
        <v>3561785</v>
      </c>
      <c r="F223" s="1">
        <v>796</v>
      </c>
      <c r="G223" s="3">
        <v>17260</v>
      </c>
      <c r="H223" s="1">
        <v>0</v>
      </c>
      <c r="I223" s="3">
        <v>3560989</v>
      </c>
      <c r="J223" s="3">
        <v>3543729</v>
      </c>
      <c r="K223" s="3">
        <v>3543729</v>
      </c>
      <c r="L223" s="3">
        <v>160868</v>
      </c>
      <c r="M223" s="3">
        <v>405786</v>
      </c>
      <c r="N223" s="3">
        <v>41212</v>
      </c>
      <c r="O223" s="3">
        <v>43923</v>
      </c>
      <c r="P223" s="3">
        <v>227582</v>
      </c>
      <c r="Q223" s="3">
        <v>2681618</v>
      </c>
      <c r="R223" s="3">
        <v>2664358</v>
      </c>
      <c r="S223" s="3">
        <v>2664358</v>
      </c>
      <c r="T223" s="3">
        <v>356099</v>
      </c>
      <c r="U223" s="3">
        <v>356099</v>
      </c>
      <c r="V223" s="3">
        <v>356099</v>
      </c>
      <c r="W223" s="3">
        <v>356099</v>
      </c>
      <c r="X223" s="3">
        <v>353222</v>
      </c>
      <c r="Y223" s="3">
        <v>353222</v>
      </c>
      <c r="Z223" s="4">
        <v>353222</v>
      </c>
      <c r="AA223" s="4">
        <v>353222</v>
      </c>
      <c r="AB223" s="4">
        <v>353222</v>
      </c>
      <c r="AC223" s="4">
        <v>353223</v>
      </c>
      <c r="AD223" s="4">
        <v>356099</v>
      </c>
      <c r="AE223" s="4">
        <v>712198</v>
      </c>
      <c r="AF223" s="4">
        <v>1068297</v>
      </c>
      <c r="AG223" s="4">
        <v>1424396</v>
      </c>
      <c r="AH223" s="4">
        <v>1777618</v>
      </c>
      <c r="AI223" s="4">
        <v>2130840</v>
      </c>
      <c r="AJ223" s="4">
        <v>2484062</v>
      </c>
      <c r="AK223" s="4">
        <v>2837284</v>
      </c>
      <c r="AL223" s="4">
        <v>3190506</v>
      </c>
      <c r="AM223" s="4">
        <v>3543729</v>
      </c>
      <c r="AN223" s="154">
        <v>300079</v>
      </c>
    </row>
    <row r="224" spans="1:40" x14ac:dyDescent="0.2">
      <c r="A224" s="1">
        <v>2019</v>
      </c>
      <c r="B224" s="2" t="s">
        <v>244</v>
      </c>
      <c r="C224" s="2" t="s">
        <v>244</v>
      </c>
      <c r="D224" s="1" t="s">
        <v>811</v>
      </c>
      <c r="E224" s="3">
        <v>5768821</v>
      </c>
      <c r="F224" s="3">
        <v>896</v>
      </c>
      <c r="G224" s="3">
        <v>24442</v>
      </c>
      <c r="H224" s="1">
        <v>0</v>
      </c>
      <c r="I224" s="3">
        <v>5767925</v>
      </c>
      <c r="J224" s="3">
        <v>5743483</v>
      </c>
      <c r="K224" s="3">
        <v>5743483</v>
      </c>
      <c r="L224" s="3">
        <v>180976</v>
      </c>
      <c r="M224" s="3">
        <v>606983</v>
      </c>
      <c r="N224" s="3">
        <v>64845</v>
      </c>
      <c r="O224" s="3">
        <v>70325</v>
      </c>
      <c r="P224" s="3">
        <v>319480</v>
      </c>
      <c r="Q224" s="3">
        <v>4525316</v>
      </c>
      <c r="R224" s="3">
        <v>4500874</v>
      </c>
      <c r="S224" s="3">
        <v>4500874</v>
      </c>
      <c r="T224" s="3">
        <v>576793</v>
      </c>
      <c r="U224" s="3">
        <v>576793</v>
      </c>
      <c r="V224" s="3">
        <v>576793</v>
      </c>
      <c r="W224" s="3">
        <v>576793</v>
      </c>
      <c r="X224" s="3">
        <v>572719</v>
      </c>
      <c r="Y224" s="3">
        <v>572719</v>
      </c>
      <c r="Z224" s="4">
        <v>572718</v>
      </c>
      <c r="AA224" s="4">
        <v>572718</v>
      </c>
      <c r="AB224" s="4">
        <v>572718</v>
      </c>
      <c r="AC224" s="4">
        <v>572719</v>
      </c>
      <c r="AD224" s="4">
        <v>576793</v>
      </c>
      <c r="AE224" s="4">
        <v>1153586</v>
      </c>
      <c r="AF224" s="4">
        <v>1730379</v>
      </c>
      <c r="AG224" s="4">
        <v>2307172</v>
      </c>
      <c r="AH224" s="4">
        <v>2879891</v>
      </c>
      <c r="AI224" s="4">
        <v>3452610</v>
      </c>
      <c r="AJ224" s="4">
        <v>4025328</v>
      </c>
      <c r="AK224" s="4">
        <v>4598046</v>
      </c>
      <c r="AL224" s="4">
        <v>5170764</v>
      </c>
      <c r="AM224" s="4">
        <v>5743483</v>
      </c>
      <c r="AN224" s="154">
        <v>424911</v>
      </c>
    </row>
    <row r="225" spans="1:40" x14ac:dyDescent="0.2">
      <c r="A225" s="1">
        <v>2019</v>
      </c>
      <c r="B225" s="2" t="s">
        <v>245</v>
      </c>
      <c r="C225" s="2" t="s">
        <v>245</v>
      </c>
      <c r="D225" s="1" t="s">
        <v>594</v>
      </c>
      <c r="E225" s="3">
        <v>8865879</v>
      </c>
      <c r="F225" s="1">
        <v>896</v>
      </c>
      <c r="G225" s="3">
        <v>31358</v>
      </c>
      <c r="H225" s="1">
        <v>0</v>
      </c>
      <c r="I225" s="3">
        <v>8864983</v>
      </c>
      <c r="J225" s="3">
        <v>8833625</v>
      </c>
      <c r="K225" s="3">
        <v>8833625</v>
      </c>
      <c r="L225" s="3">
        <v>180976</v>
      </c>
      <c r="M225" s="3">
        <v>747151</v>
      </c>
      <c r="N225" s="3">
        <v>87138</v>
      </c>
      <c r="O225" s="3">
        <v>85818</v>
      </c>
      <c r="P225" s="3">
        <v>414497</v>
      </c>
      <c r="Q225" s="3">
        <v>7349403</v>
      </c>
      <c r="R225" s="3">
        <v>7318045</v>
      </c>
      <c r="S225" s="3">
        <v>7318045</v>
      </c>
      <c r="T225" s="3">
        <v>886498</v>
      </c>
      <c r="U225" s="3">
        <v>886498</v>
      </c>
      <c r="V225" s="3">
        <v>886498</v>
      </c>
      <c r="W225" s="3">
        <v>886498</v>
      </c>
      <c r="X225" s="3">
        <v>881272</v>
      </c>
      <c r="Y225" s="3">
        <v>881272</v>
      </c>
      <c r="Z225" s="4">
        <v>881272</v>
      </c>
      <c r="AA225" s="4">
        <v>881272</v>
      </c>
      <c r="AB225" s="4">
        <v>881272</v>
      </c>
      <c r="AC225" s="4">
        <v>881273</v>
      </c>
      <c r="AD225" s="4">
        <v>886498</v>
      </c>
      <c r="AE225" s="4">
        <v>1772996</v>
      </c>
      <c r="AF225" s="4">
        <v>2659494</v>
      </c>
      <c r="AG225" s="4">
        <v>3545992</v>
      </c>
      <c r="AH225" s="4">
        <v>4427264</v>
      </c>
      <c r="AI225" s="4">
        <v>5308536</v>
      </c>
      <c r="AJ225" s="4">
        <v>6189808</v>
      </c>
      <c r="AK225" s="4">
        <v>7071080</v>
      </c>
      <c r="AL225" s="4">
        <v>7952352</v>
      </c>
      <c r="AM225" s="4">
        <v>8833625</v>
      </c>
      <c r="AN225" s="154">
        <v>593990</v>
      </c>
    </row>
    <row r="226" spans="1:40" x14ac:dyDescent="0.2">
      <c r="A226" s="1">
        <v>2019</v>
      </c>
      <c r="B226" s="2" t="s">
        <v>246</v>
      </c>
      <c r="C226" s="2" t="s">
        <v>246</v>
      </c>
      <c r="D226" s="1" t="s">
        <v>595</v>
      </c>
      <c r="E226" s="3">
        <v>3507635</v>
      </c>
      <c r="F226" s="1">
        <v>547</v>
      </c>
      <c r="G226" s="3">
        <v>15437</v>
      </c>
      <c r="H226" s="3">
        <v>0</v>
      </c>
      <c r="I226" s="3">
        <v>3507088</v>
      </c>
      <c r="J226" s="3">
        <v>3491651</v>
      </c>
      <c r="K226" s="3">
        <v>3491651</v>
      </c>
      <c r="L226" s="3">
        <v>110597</v>
      </c>
      <c r="M226" s="3">
        <v>376654</v>
      </c>
      <c r="N226" s="3">
        <v>40245</v>
      </c>
      <c r="O226" s="3">
        <v>40919</v>
      </c>
      <c r="P226" s="3">
        <v>203822</v>
      </c>
      <c r="Q226" s="3">
        <v>2734851</v>
      </c>
      <c r="R226" s="3">
        <v>2719414</v>
      </c>
      <c r="S226" s="3">
        <v>2719414</v>
      </c>
      <c r="T226" s="3">
        <v>350709</v>
      </c>
      <c r="U226" s="3">
        <v>350709</v>
      </c>
      <c r="V226" s="3">
        <v>350709</v>
      </c>
      <c r="W226" s="3">
        <v>350709</v>
      </c>
      <c r="X226" s="3">
        <v>348136</v>
      </c>
      <c r="Y226" s="3">
        <v>348136</v>
      </c>
      <c r="Z226" s="4">
        <v>348136</v>
      </c>
      <c r="AA226" s="4">
        <v>348136</v>
      </c>
      <c r="AB226" s="4">
        <v>348136</v>
      </c>
      <c r="AC226" s="4">
        <v>348135</v>
      </c>
      <c r="AD226" s="4">
        <v>350709</v>
      </c>
      <c r="AE226" s="4">
        <v>701418</v>
      </c>
      <c r="AF226" s="4">
        <v>1052127</v>
      </c>
      <c r="AG226" s="4">
        <v>1402836</v>
      </c>
      <c r="AH226" s="4">
        <v>1750972</v>
      </c>
      <c r="AI226" s="4">
        <v>2099108</v>
      </c>
      <c r="AJ226" s="4">
        <v>2447244</v>
      </c>
      <c r="AK226" s="4">
        <v>2795380</v>
      </c>
      <c r="AL226" s="4">
        <v>3143516</v>
      </c>
      <c r="AM226" s="4">
        <v>3491651</v>
      </c>
      <c r="AN226" s="154">
        <v>257877</v>
      </c>
    </row>
    <row r="227" spans="1:40" x14ac:dyDescent="0.2">
      <c r="A227" s="1">
        <v>2019</v>
      </c>
      <c r="B227" s="2" t="s">
        <v>247</v>
      </c>
      <c r="C227" s="2" t="s">
        <v>247</v>
      </c>
      <c r="D227" s="1" t="s">
        <v>596</v>
      </c>
      <c r="E227" s="3">
        <v>204621</v>
      </c>
      <c r="F227" s="3">
        <v>1095</v>
      </c>
      <c r="G227" s="3">
        <v>23508</v>
      </c>
      <c r="H227" s="1">
        <v>0</v>
      </c>
      <c r="I227" s="3">
        <v>203526</v>
      </c>
      <c r="J227" s="3">
        <v>180018</v>
      </c>
      <c r="K227" s="3">
        <v>180018</v>
      </c>
      <c r="L227" s="3">
        <v>221193</v>
      </c>
      <c r="M227" s="3">
        <v>569975</v>
      </c>
      <c r="N227" s="3">
        <v>63011</v>
      </c>
      <c r="O227" s="3">
        <v>64901</v>
      </c>
      <c r="P227" s="3">
        <v>314833</v>
      </c>
      <c r="Q227" s="3">
        <v>-1030387</v>
      </c>
      <c r="R227" s="3">
        <v>-1053895</v>
      </c>
      <c r="S227" s="3">
        <v>-1053895</v>
      </c>
      <c r="T227" s="3">
        <v>20353</v>
      </c>
      <c r="U227" s="3">
        <v>20353</v>
      </c>
      <c r="V227" s="3">
        <v>20353</v>
      </c>
      <c r="W227" s="3">
        <v>20353</v>
      </c>
      <c r="X227" s="3">
        <v>16434</v>
      </c>
      <c r="Y227" s="3">
        <v>16434</v>
      </c>
      <c r="Z227" s="4">
        <v>16435</v>
      </c>
      <c r="AA227" s="4">
        <v>16435</v>
      </c>
      <c r="AB227" s="4">
        <v>16435</v>
      </c>
      <c r="AC227" s="4">
        <v>16433</v>
      </c>
      <c r="AD227" s="4">
        <v>20353</v>
      </c>
      <c r="AE227" s="4">
        <v>40706</v>
      </c>
      <c r="AF227" s="4">
        <v>61059</v>
      </c>
      <c r="AG227" s="4">
        <v>81412</v>
      </c>
      <c r="AH227" s="4">
        <v>97846</v>
      </c>
      <c r="AI227" s="4">
        <v>114280</v>
      </c>
      <c r="AJ227" s="4">
        <v>130715</v>
      </c>
      <c r="AK227" s="4">
        <v>147150</v>
      </c>
      <c r="AL227" s="4">
        <v>163585</v>
      </c>
      <c r="AM227" s="4">
        <v>180018</v>
      </c>
      <c r="AN227" s="154">
        <v>437923</v>
      </c>
    </row>
    <row r="228" spans="1:40" x14ac:dyDescent="0.2">
      <c r="A228" s="1">
        <v>2019</v>
      </c>
      <c r="B228" s="2" t="s">
        <v>248</v>
      </c>
      <c r="C228" s="2" t="s">
        <v>248</v>
      </c>
      <c r="D228" s="1" t="s">
        <v>597</v>
      </c>
      <c r="E228" s="3">
        <v>1235025</v>
      </c>
      <c r="F228" s="3">
        <v>133</v>
      </c>
      <c r="G228" s="3">
        <v>5146</v>
      </c>
      <c r="H228" s="1">
        <v>0</v>
      </c>
      <c r="I228" s="3">
        <v>1234892</v>
      </c>
      <c r="J228" s="3">
        <v>1229746</v>
      </c>
      <c r="K228" s="3">
        <v>1229746</v>
      </c>
      <c r="L228" s="3">
        <v>26811</v>
      </c>
      <c r="M228" s="3">
        <v>154630</v>
      </c>
      <c r="N228" s="3">
        <v>15480</v>
      </c>
      <c r="O228" s="3">
        <v>15899</v>
      </c>
      <c r="P228" s="3">
        <v>70473</v>
      </c>
      <c r="Q228" s="3">
        <v>951599</v>
      </c>
      <c r="R228" s="3">
        <v>946453</v>
      </c>
      <c r="S228" s="3">
        <v>946453</v>
      </c>
      <c r="T228" s="3">
        <v>123489</v>
      </c>
      <c r="U228" s="3">
        <v>123489</v>
      </c>
      <c r="V228" s="3">
        <v>123489</v>
      </c>
      <c r="W228" s="3">
        <v>123489</v>
      </c>
      <c r="X228" s="3">
        <v>122632</v>
      </c>
      <c r="Y228" s="3">
        <v>122632</v>
      </c>
      <c r="Z228" s="4">
        <v>122632</v>
      </c>
      <c r="AA228" s="4">
        <v>122632</v>
      </c>
      <c r="AB228" s="4">
        <v>122632</v>
      </c>
      <c r="AC228" s="4">
        <v>122630</v>
      </c>
      <c r="AD228" s="4">
        <v>123489</v>
      </c>
      <c r="AE228" s="4">
        <v>246978</v>
      </c>
      <c r="AF228" s="4">
        <v>370467</v>
      </c>
      <c r="AG228" s="4">
        <v>493956</v>
      </c>
      <c r="AH228" s="4">
        <v>616588</v>
      </c>
      <c r="AI228" s="4">
        <v>739220</v>
      </c>
      <c r="AJ228" s="4">
        <v>861852</v>
      </c>
      <c r="AK228" s="4">
        <v>984484</v>
      </c>
      <c r="AL228" s="4">
        <v>1107116</v>
      </c>
      <c r="AM228" s="4">
        <v>1229746</v>
      </c>
      <c r="AN228" s="154">
        <v>95855</v>
      </c>
    </row>
    <row r="229" spans="1:40" x14ac:dyDescent="0.2">
      <c r="A229" s="1">
        <v>2019</v>
      </c>
      <c r="B229" s="2" t="s">
        <v>249</v>
      </c>
      <c r="C229" s="2" t="s">
        <v>249</v>
      </c>
      <c r="D229" s="1" t="s">
        <v>598</v>
      </c>
      <c r="E229" s="3">
        <v>870550</v>
      </c>
      <c r="F229" s="3">
        <v>166</v>
      </c>
      <c r="G229" s="3">
        <v>4778</v>
      </c>
      <c r="H229" s="1">
        <v>0</v>
      </c>
      <c r="I229" s="3">
        <v>870384</v>
      </c>
      <c r="J229" s="3">
        <v>865606</v>
      </c>
      <c r="K229" s="3">
        <v>865606</v>
      </c>
      <c r="L229" s="3">
        <v>33514</v>
      </c>
      <c r="M229" s="3">
        <v>139249</v>
      </c>
      <c r="N229" s="3">
        <v>10594</v>
      </c>
      <c r="O229" s="3">
        <v>15488</v>
      </c>
      <c r="P229" s="3">
        <v>62459</v>
      </c>
      <c r="Q229" s="3">
        <v>609080</v>
      </c>
      <c r="R229" s="3">
        <v>604302</v>
      </c>
      <c r="S229" s="3">
        <v>604302</v>
      </c>
      <c r="T229" s="3">
        <v>87038</v>
      </c>
      <c r="U229" s="3">
        <v>87038</v>
      </c>
      <c r="V229" s="3">
        <v>87038</v>
      </c>
      <c r="W229" s="3">
        <v>87038</v>
      </c>
      <c r="X229" s="3">
        <v>86242</v>
      </c>
      <c r="Y229" s="3">
        <v>86242</v>
      </c>
      <c r="Z229" s="4">
        <v>86243</v>
      </c>
      <c r="AA229" s="4">
        <v>86243</v>
      </c>
      <c r="AB229" s="4">
        <v>86243</v>
      </c>
      <c r="AC229" s="4">
        <v>86241</v>
      </c>
      <c r="AD229" s="4">
        <v>87038</v>
      </c>
      <c r="AE229" s="4">
        <v>174076</v>
      </c>
      <c r="AF229" s="4">
        <v>261114</v>
      </c>
      <c r="AG229" s="4">
        <v>348152</v>
      </c>
      <c r="AH229" s="4">
        <v>434394</v>
      </c>
      <c r="AI229" s="4">
        <v>520636</v>
      </c>
      <c r="AJ229" s="4">
        <v>606879</v>
      </c>
      <c r="AK229" s="4">
        <v>693122</v>
      </c>
      <c r="AL229" s="4">
        <v>779365</v>
      </c>
      <c r="AM229" s="4">
        <v>865606</v>
      </c>
      <c r="AN229" s="154">
        <v>88818</v>
      </c>
    </row>
    <row r="230" spans="1:40" x14ac:dyDescent="0.2">
      <c r="A230" s="1">
        <v>2019</v>
      </c>
      <c r="B230" s="2" t="s">
        <v>250</v>
      </c>
      <c r="C230" s="2" t="s">
        <v>250</v>
      </c>
      <c r="D230" s="1" t="s">
        <v>599</v>
      </c>
      <c r="E230" s="3">
        <v>5191351</v>
      </c>
      <c r="F230" s="3">
        <v>1095</v>
      </c>
      <c r="G230" s="3">
        <v>22466</v>
      </c>
      <c r="H230" s="1">
        <v>0</v>
      </c>
      <c r="I230" s="3">
        <v>5190256</v>
      </c>
      <c r="J230" s="3">
        <v>5167790</v>
      </c>
      <c r="K230" s="3">
        <v>5167790</v>
      </c>
      <c r="L230" s="3">
        <v>221193</v>
      </c>
      <c r="M230" s="3">
        <v>528956</v>
      </c>
      <c r="N230" s="3">
        <v>56335</v>
      </c>
      <c r="O230" s="3">
        <v>60127</v>
      </c>
      <c r="P230" s="3">
        <v>297570</v>
      </c>
      <c r="Q230" s="3">
        <v>4026075</v>
      </c>
      <c r="R230" s="3">
        <v>4003609</v>
      </c>
      <c r="S230" s="3">
        <v>4003609</v>
      </c>
      <c r="T230" s="3">
        <v>519026</v>
      </c>
      <c r="U230" s="3">
        <v>519026</v>
      </c>
      <c r="V230" s="3">
        <v>519026</v>
      </c>
      <c r="W230" s="3">
        <v>519026</v>
      </c>
      <c r="X230" s="3">
        <v>515281</v>
      </c>
      <c r="Y230" s="3">
        <v>515281</v>
      </c>
      <c r="Z230" s="4">
        <v>515281</v>
      </c>
      <c r="AA230" s="4">
        <v>515281</v>
      </c>
      <c r="AB230" s="4">
        <v>515281</v>
      </c>
      <c r="AC230" s="4">
        <v>515281</v>
      </c>
      <c r="AD230" s="4">
        <v>519026</v>
      </c>
      <c r="AE230" s="4">
        <v>1038052</v>
      </c>
      <c r="AF230" s="4">
        <v>1557078</v>
      </c>
      <c r="AG230" s="4">
        <v>2076104</v>
      </c>
      <c r="AH230" s="4">
        <v>2591385</v>
      </c>
      <c r="AI230" s="4">
        <v>3106666</v>
      </c>
      <c r="AJ230" s="4">
        <v>3621947</v>
      </c>
      <c r="AK230" s="4">
        <v>4137228</v>
      </c>
      <c r="AL230" s="4">
        <v>4652509</v>
      </c>
      <c r="AM230" s="4">
        <v>5167790</v>
      </c>
      <c r="AN230" s="154">
        <v>407109</v>
      </c>
    </row>
    <row r="231" spans="1:40" x14ac:dyDescent="0.2">
      <c r="A231" s="1">
        <v>2019</v>
      </c>
      <c r="B231" s="2" t="s">
        <v>251</v>
      </c>
      <c r="C231" s="2" t="s">
        <v>251</v>
      </c>
      <c r="D231" s="1" t="s">
        <v>600</v>
      </c>
      <c r="E231" s="3">
        <v>15399577</v>
      </c>
      <c r="F231" s="3">
        <v>2007</v>
      </c>
      <c r="G231" s="3">
        <v>58983</v>
      </c>
      <c r="H231" s="1">
        <v>0</v>
      </c>
      <c r="I231" s="3">
        <v>15397570</v>
      </c>
      <c r="J231" s="3">
        <v>15338587</v>
      </c>
      <c r="K231" s="3">
        <v>15338587</v>
      </c>
      <c r="L231" s="3">
        <v>405521</v>
      </c>
      <c r="M231" s="3">
        <v>1339188</v>
      </c>
      <c r="N231" s="3">
        <v>174996</v>
      </c>
      <c r="O231" s="3">
        <v>157239</v>
      </c>
      <c r="P231" s="3">
        <v>770964</v>
      </c>
      <c r="Q231" s="3">
        <v>12549662</v>
      </c>
      <c r="R231" s="3">
        <v>12490679</v>
      </c>
      <c r="S231" s="3">
        <v>12490679</v>
      </c>
      <c r="T231" s="3">
        <v>1539757</v>
      </c>
      <c r="U231" s="3">
        <v>1539757</v>
      </c>
      <c r="V231" s="3">
        <v>1539757</v>
      </c>
      <c r="W231" s="3">
        <v>1539757</v>
      </c>
      <c r="X231" s="3">
        <v>1529927</v>
      </c>
      <c r="Y231" s="3">
        <v>1529927</v>
      </c>
      <c r="Z231" s="4">
        <v>1529926</v>
      </c>
      <c r="AA231" s="4">
        <v>1529926</v>
      </c>
      <c r="AB231" s="4">
        <v>1529926</v>
      </c>
      <c r="AC231" s="4">
        <v>1529927</v>
      </c>
      <c r="AD231" s="4">
        <v>1539757</v>
      </c>
      <c r="AE231" s="4">
        <v>3079514</v>
      </c>
      <c r="AF231" s="4">
        <v>4619271</v>
      </c>
      <c r="AG231" s="4">
        <v>6159028</v>
      </c>
      <c r="AH231" s="4">
        <v>7688955</v>
      </c>
      <c r="AI231" s="4">
        <v>9218882</v>
      </c>
      <c r="AJ231" s="4">
        <v>10748808</v>
      </c>
      <c r="AK231" s="4">
        <v>12278734</v>
      </c>
      <c r="AL231" s="4">
        <v>13808660</v>
      </c>
      <c r="AM231" s="4">
        <v>15338587</v>
      </c>
      <c r="AN231" s="154">
        <v>1044390</v>
      </c>
    </row>
    <row r="232" spans="1:40" x14ac:dyDescent="0.2">
      <c r="A232" s="1">
        <v>2019</v>
      </c>
      <c r="B232" s="2" t="s">
        <v>252</v>
      </c>
      <c r="C232" s="2" t="s">
        <v>252</v>
      </c>
      <c r="D232" s="1" t="s">
        <v>601</v>
      </c>
      <c r="E232" s="3">
        <v>33303397</v>
      </c>
      <c r="F232" s="3">
        <v>2703</v>
      </c>
      <c r="G232" s="3">
        <v>115207</v>
      </c>
      <c r="H232" s="1">
        <v>0</v>
      </c>
      <c r="I232" s="3">
        <v>33300694</v>
      </c>
      <c r="J232" s="3">
        <v>33185487</v>
      </c>
      <c r="K232" s="3">
        <v>33185487</v>
      </c>
      <c r="L232" s="3">
        <v>546281</v>
      </c>
      <c r="M232" s="3">
        <v>2582325</v>
      </c>
      <c r="N232" s="3">
        <v>371882</v>
      </c>
      <c r="O232" s="3">
        <v>292782</v>
      </c>
      <c r="P232" s="3">
        <v>1505883</v>
      </c>
      <c r="Q232" s="3">
        <v>28001541</v>
      </c>
      <c r="R232" s="3">
        <v>27886334</v>
      </c>
      <c r="S232" s="3">
        <v>27886334</v>
      </c>
      <c r="T232" s="3">
        <v>3330069</v>
      </c>
      <c r="U232" s="3">
        <v>3330069</v>
      </c>
      <c r="V232" s="3">
        <v>3330069</v>
      </c>
      <c r="W232" s="3">
        <v>3330069</v>
      </c>
      <c r="X232" s="3">
        <v>3310869</v>
      </c>
      <c r="Y232" s="3">
        <v>3310869</v>
      </c>
      <c r="Z232" s="4">
        <v>3310868</v>
      </c>
      <c r="AA232" s="4">
        <v>3310868</v>
      </c>
      <c r="AB232" s="4">
        <v>3310868</v>
      </c>
      <c r="AC232" s="4">
        <v>3310869</v>
      </c>
      <c r="AD232" s="4">
        <v>3330069</v>
      </c>
      <c r="AE232" s="4">
        <v>6660138</v>
      </c>
      <c r="AF232" s="4">
        <v>9990207</v>
      </c>
      <c r="AG232" s="4">
        <v>13320276</v>
      </c>
      <c r="AH232" s="4">
        <v>16631145</v>
      </c>
      <c r="AI232" s="4">
        <v>19942014</v>
      </c>
      <c r="AJ232" s="4">
        <v>23252882</v>
      </c>
      <c r="AK232" s="4">
        <v>26563750</v>
      </c>
      <c r="AL232" s="4">
        <v>29874618</v>
      </c>
      <c r="AM232" s="4">
        <v>33185487</v>
      </c>
      <c r="AN232" s="154">
        <v>2003444</v>
      </c>
    </row>
    <row r="233" spans="1:40" x14ac:dyDescent="0.2">
      <c r="A233" s="1">
        <v>2019</v>
      </c>
      <c r="B233" s="2" t="s">
        <v>253</v>
      </c>
      <c r="C233" s="2" t="s">
        <v>253</v>
      </c>
      <c r="D233" s="1" t="s">
        <v>602</v>
      </c>
      <c r="E233" s="3">
        <v>3489393</v>
      </c>
      <c r="F233" s="3">
        <v>564</v>
      </c>
      <c r="G233" s="3">
        <v>17633</v>
      </c>
      <c r="H233" s="1">
        <v>0</v>
      </c>
      <c r="I233" s="3">
        <v>3488829</v>
      </c>
      <c r="J233" s="3">
        <v>3471196</v>
      </c>
      <c r="K233" s="3">
        <v>3471196</v>
      </c>
      <c r="L233" s="3">
        <v>113948</v>
      </c>
      <c r="M233" s="3">
        <v>405583</v>
      </c>
      <c r="N233" s="3">
        <v>42326</v>
      </c>
      <c r="O233" s="3">
        <v>40034</v>
      </c>
      <c r="P233" s="3">
        <v>233692</v>
      </c>
      <c r="Q233" s="3">
        <v>2653246</v>
      </c>
      <c r="R233" s="3">
        <v>2635613</v>
      </c>
      <c r="S233" s="3">
        <v>2635613</v>
      </c>
      <c r="T233" s="3">
        <v>348883</v>
      </c>
      <c r="U233" s="3">
        <v>348883</v>
      </c>
      <c r="V233" s="3">
        <v>348883</v>
      </c>
      <c r="W233" s="3">
        <v>348883</v>
      </c>
      <c r="X233" s="3">
        <v>345944</v>
      </c>
      <c r="Y233" s="3">
        <v>345944</v>
      </c>
      <c r="Z233" s="4">
        <v>345944</v>
      </c>
      <c r="AA233" s="4">
        <v>345944</v>
      </c>
      <c r="AB233" s="4">
        <v>345944</v>
      </c>
      <c r="AC233" s="4">
        <v>345944</v>
      </c>
      <c r="AD233" s="4">
        <v>348883</v>
      </c>
      <c r="AE233" s="4">
        <v>697766</v>
      </c>
      <c r="AF233" s="4">
        <v>1046649</v>
      </c>
      <c r="AG233" s="4">
        <v>1395532</v>
      </c>
      <c r="AH233" s="4">
        <v>1741476</v>
      </c>
      <c r="AI233" s="4">
        <v>2087420</v>
      </c>
      <c r="AJ233" s="4">
        <v>2433364</v>
      </c>
      <c r="AK233" s="4">
        <v>2779308</v>
      </c>
      <c r="AL233" s="4">
        <v>3125252</v>
      </c>
      <c r="AM233" s="4">
        <v>3471196</v>
      </c>
      <c r="AN233" s="154">
        <v>297715</v>
      </c>
    </row>
    <row r="234" spans="1:40" x14ac:dyDescent="0.2">
      <c r="A234" s="1">
        <v>2019</v>
      </c>
      <c r="B234" s="2" t="s">
        <v>254</v>
      </c>
      <c r="C234" s="2" t="s">
        <v>254</v>
      </c>
      <c r="D234" s="1" t="s">
        <v>603</v>
      </c>
      <c r="E234" s="3">
        <v>1178270</v>
      </c>
      <c r="F234" s="3">
        <v>315</v>
      </c>
      <c r="G234" s="3">
        <v>5203</v>
      </c>
      <c r="H234" s="1">
        <v>0</v>
      </c>
      <c r="I234" s="3">
        <v>1177955</v>
      </c>
      <c r="J234" s="3">
        <v>1172752</v>
      </c>
      <c r="K234" s="3">
        <v>1172752</v>
      </c>
      <c r="L234" s="3">
        <v>63677</v>
      </c>
      <c r="M234" s="3">
        <v>124609</v>
      </c>
      <c r="N234" s="3">
        <v>14975</v>
      </c>
      <c r="O234" s="3">
        <v>11082</v>
      </c>
      <c r="P234" s="3">
        <v>68010</v>
      </c>
      <c r="Q234" s="3">
        <v>895602</v>
      </c>
      <c r="R234" s="3">
        <v>890399</v>
      </c>
      <c r="S234" s="3">
        <v>890399</v>
      </c>
      <c r="T234" s="3">
        <v>117796</v>
      </c>
      <c r="U234" s="3">
        <v>117796</v>
      </c>
      <c r="V234" s="3">
        <v>117796</v>
      </c>
      <c r="W234" s="3">
        <v>117796</v>
      </c>
      <c r="X234" s="3">
        <v>116928</v>
      </c>
      <c r="Y234" s="3">
        <v>116928</v>
      </c>
      <c r="Z234" s="4">
        <v>116928</v>
      </c>
      <c r="AA234" s="4">
        <v>116928</v>
      </c>
      <c r="AB234" s="4">
        <v>116928</v>
      </c>
      <c r="AC234" s="4">
        <v>116928</v>
      </c>
      <c r="AD234" s="4">
        <v>117796</v>
      </c>
      <c r="AE234" s="4">
        <v>235592</v>
      </c>
      <c r="AF234" s="4">
        <v>353388</v>
      </c>
      <c r="AG234" s="4">
        <v>471184</v>
      </c>
      <c r="AH234" s="4">
        <v>588112</v>
      </c>
      <c r="AI234" s="4">
        <v>705040</v>
      </c>
      <c r="AJ234" s="4">
        <v>821968</v>
      </c>
      <c r="AK234" s="4">
        <v>938896</v>
      </c>
      <c r="AL234" s="4">
        <v>1055824</v>
      </c>
      <c r="AM234" s="4">
        <v>1172752</v>
      </c>
      <c r="AN234" s="154">
        <v>92002</v>
      </c>
    </row>
    <row r="235" spans="1:40" x14ac:dyDescent="0.2">
      <c r="A235" s="1">
        <v>2019</v>
      </c>
      <c r="B235" s="2" t="s">
        <v>255</v>
      </c>
      <c r="C235" s="2" t="s">
        <v>703</v>
      </c>
      <c r="D235" s="1" t="s">
        <v>604</v>
      </c>
      <c r="E235" s="3">
        <v>2570494</v>
      </c>
      <c r="F235" s="3">
        <v>514</v>
      </c>
      <c r="G235" s="3">
        <v>14738</v>
      </c>
      <c r="H235" s="1">
        <v>0</v>
      </c>
      <c r="I235" s="3">
        <v>2569980</v>
      </c>
      <c r="J235" s="3">
        <v>2555242</v>
      </c>
      <c r="K235" s="3">
        <v>2555242</v>
      </c>
      <c r="L235" s="3">
        <v>103894</v>
      </c>
      <c r="M235" s="3">
        <v>364046</v>
      </c>
      <c r="N235" s="3">
        <v>36426</v>
      </c>
      <c r="O235" s="3">
        <v>42844</v>
      </c>
      <c r="P235" s="3">
        <v>198940</v>
      </c>
      <c r="Q235" s="3">
        <v>1823830</v>
      </c>
      <c r="R235" s="3">
        <v>1809092</v>
      </c>
      <c r="S235" s="3">
        <v>1809092</v>
      </c>
      <c r="T235" s="3">
        <v>256998</v>
      </c>
      <c r="U235" s="3">
        <v>256998</v>
      </c>
      <c r="V235" s="3">
        <v>256998</v>
      </c>
      <c r="W235" s="3">
        <v>256998</v>
      </c>
      <c r="X235" s="3">
        <v>254542</v>
      </c>
      <c r="Y235" s="3">
        <v>254542</v>
      </c>
      <c r="Z235" s="4">
        <v>254542</v>
      </c>
      <c r="AA235" s="4">
        <v>254542</v>
      </c>
      <c r="AB235" s="4">
        <v>254542</v>
      </c>
      <c r="AC235" s="4">
        <v>254540</v>
      </c>
      <c r="AD235" s="4">
        <v>256998</v>
      </c>
      <c r="AE235" s="4">
        <v>513996</v>
      </c>
      <c r="AF235" s="4">
        <v>770994</v>
      </c>
      <c r="AG235" s="4">
        <v>1027992</v>
      </c>
      <c r="AH235" s="4">
        <v>1282534</v>
      </c>
      <c r="AI235" s="4">
        <v>1537076</v>
      </c>
      <c r="AJ235" s="4">
        <v>1791618</v>
      </c>
      <c r="AK235" s="4">
        <v>2046160</v>
      </c>
      <c r="AL235" s="4">
        <v>2300702</v>
      </c>
      <c r="AM235" s="4">
        <v>2555242</v>
      </c>
      <c r="AN235" s="154">
        <v>285378</v>
      </c>
    </row>
    <row r="236" spans="1:40" x14ac:dyDescent="0.2">
      <c r="A236" s="1">
        <v>2019</v>
      </c>
      <c r="B236" s="2" t="s">
        <v>256</v>
      </c>
      <c r="C236" s="2" t="s">
        <v>256</v>
      </c>
      <c r="D236" s="1" t="s">
        <v>605</v>
      </c>
      <c r="E236" s="3">
        <v>3360837</v>
      </c>
      <c r="F236" s="3">
        <v>697</v>
      </c>
      <c r="G236" s="3">
        <v>14990</v>
      </c>
      <c r="H236" s="1">
        <v>0</v>
      </c>
      <c r="I236" s="3">
        <v>3360140</v>
      </c>
      <c r="J236" s="3">
        <v>3345150</v>
      </c>
      <c r="K236" s="3">
        <v>3345150</v>
      </c>
      <c r="L236" s="3">
        <v>140759</v>
      </c>
      <c r="M236" s="3">
        <v>352146</v>
      </c>
      <c r="N236" s="3">
        <v>40789</v>
      </c>
      <c r="O236" s="3">
        <v>39577</v>
      </c>
      <c r="P236" s="3">
        <v>198973</v>
      </c>
      <c r="Q236" s="3">
        <v>2587896</v>
      </c>
      <c r="R236" s="3">
        <v>2572906</v>
      </c>
      <c r="S236" s="3">
        <v>2572906</v>
      </c>
      <c r="T236" s="3">
        <v>336014</v>
      </c>
      <c r="U236" s="3">
        <v>336014</v>
      </c>
      <c r="V236" s="3">
        <v>336014</v>
      </c>
      <c r="W236" s="3">
        <v>336014</v>
      </c>
      <c r="X236" s="3">
        <v>333516</v>
      </c>
      <c r="Y236" s="3">
        <v>333516</v>
      </c>
      <c r="Z236" s="4">
        <v>333516</v>
      </c>
      <c r="AA236" s="4">
        <v>333516</v>
      </c>
      <c r="AB236" s="4">
        <v>333516</v>
      </c>
      <c r="AC236" s="4">
        <v>333514</v>
      </c>
      <c r="AD236" s="4">
        <v>336014</v>
      </c>
      <c r="AE236" s="4">
        <v>672028</v>
      </c>
      <c r="AF236" s="4">
        <v>1008042</v>
      </c>
      <c r="AG236" s="4">
        <v>1344056</v>
      </c>
      <c r="AH236" s="4">
        <v>1677572</v>
      </c>
      <c r="AI236" s="4">
        <v>2011088</v>
      </c>
      <c r="AJ236" s="4">
        <v>2344604</v>
      </c>
      <c r="AK236" s="4">
        <v>2678120</v>
      </c>
      <c r="AL236" s="4">
        <v>3011636</v>
      </c>
      <c r="AM236" s="4">
        <v>3345150</v>
      </c>
      <c r="AN236" s="154">
        <v>261269</v>
      </c>
    </row>
    <row r="237" spans="1:40" x14ac:dyDescent="0.2">
      <c r="A237" s="1">
        <v>2019</v>
      </c>
      <c r="B237" s="2" t="s">
        <v>257</v>
      </c>
      <c r="C237" s="2" t="s">
        <v>257</v>
      </c>
      <c r="D237" s="1" t="s">
        <v>606</v>
      </c>
      <c r="E237" s="3">
        <v>12119503</v>
      </c>
      <c r="F237" s="3">
        <v>1675</v>
      </c>
      <c r="G237" s="3">
        <v>53485</v>
      </c>
      <c r="H237" s="1">
        <v>0</v>
      </c>
      <c r="I237" s="3">
        <v>12117828</v>
      </c>
      <c r="J237" s="3">
        <v>12064343</v>
      </c>
      <c r="K237" s="3">
        <v>12064343</v>
      </c>
      <c r="L237" s="3">
        <v>338493</v>
      </c>
      <c r="M237" s="3">
        <v>1180850</v>
      </c>
      <c r="N237" s="3">
        <v>136609</v>
      </c>
      <c r="O237" s="3">
        <v>126909</v>
      </c>
      <c r="P237" s="3">
        <v>699102</v>
      </c>
      <c r="Q237" s="3">
        <v>9635865</v>
      </c>
      <c r="R237" s="3">
        <v>9582380</v>
      </c>
      <c r="S237" s="3">
        <v>9582380</v>
      </c>
      <c r="T237" s="3">
        <v>1211783</v>
      </c>
      <c r="U237" s="3">
        <v>1211783</v>
      </c>
      <c r="V237" s="3">
        <v>1211783</v>
      </c>
      <c r="W237" s="3">
        <v>1211783</v>
      </c>
      <c r="X237" s="3">
        <v>1202869</v>
      </c>
      <c r="Y237" s="3">
        <v>1202869</v>
      </c>
      <c r="Z237" s="4">
        <v>1202868</v>
      </c>
      <c r="AA237" s="4">
        <v>1202868</v>
      </c>
      <c r="AB237" s="4">
        <v>1202868</v>
      </c>
      <c r="AC237" s="4">
        <v>1202869</v>
      </c>
      <c r="AD237" s="4">
        <v>1211783</v>
      </c>
      <c r="AE237" s="4">
        <v>2423566</v>
      </c>
      <c r="AF237" s="4">
        <v>3635349</v>
      </c>
      <c r="AG237" s="4">
        <v>4847132</v>
      </c>
      <c r="AH237" s="4">
        <v>6050001</v>
      </c>
      <c r="AI237" s="4">
        <v>7252870</v>
      </c>
      <c r="AJ237" s="4">
        <v>8455738</v>
      </c>
      <c r="AK237" s="4">
        <v>9658606</v>
      </c>
      <c r="AL237" s="4">
        <v>10861474</v>
      </c>
      <c r="AM237" s="4">
        <v>12064343</v>
      </c>
      <c r="AN237" s="154">
        <v>961857</v>
      </c>
    </row>
    <row r="238" spans="1:40" x14ac:dyDescent="0.2">
      <c r="A238" s="1">
        <v>2019</v>
      </c>
      <c r="B238" s="2" t="s">
        <v>258</v>
      </c>
      <c r="C238" s="2" t="s">
        <v>258</v>
      </c>
      <c r="D238" s="1" t="s">
        <v>607</v>
      </c>
      <c r="E238" s="3">
        <v>12875418</v>
      </c>
      <c r="F238" s="3">
        <v>1559</v>
      </c>
      <c r="G238" s="3">
        <v>44208</v>
      </c>
      <c r="H238" s="1">
        <v>0</v>
      </c>
      <c r="I238" s="3">
        <v>12873859</v>
      </c>
      <c r="J238" s="3">
        <v>12829651</v>
      </c>
      <c r="K238" s="3">
        <v>12829651</v>
      </c>
      <c r="L238" s="3">
        <v>315033</v>
      </c>
      <c r="M238" s="3">
        <v>1075578</v>
      </c>
      <c r="N238" s="3">
        <v>159664</v>
      </c>
      <c r="O238" s="3">
        <v>116969</v>
      </c>
      <c r="P238" s="3">
        <v>593136</v>
      </c>
      <c r="Q238" s="3">
        <v>10613479</v>
      </c>
      <c r="R238" s="3">
        <v>10569271</v>
      </c>
      <c r="S238" s="3">
        <v>10569271</v>
      </c>
      <c r="T238" s="3">
        <v>1287386</v>
      </c>
      <c r="U238" s="3">
        <v>1287386</v>
      </c>
      <c r="V238" s="3">
        <v>1287386</v>
      </c>
      <c r="W238" s="3">
        <v>1287386</v>
      </c>
      <c r="X238" s="3">
        <v>1280018</v>
      </c>
      <c r="Y238" s="3">
        <v>1280018</v>
      </c>
      <c r="Z238" s="4">
        <v>1280018</v>
      </c>
      <c r="AA238" s="4">
        <v>1280018</v>
      </c>
      <c r="AB238" s="4">
        <v>1280018</v>
      </c>
      <c r="AC238" s="4">
        <v>1280017</v>
      </c>
      <c r="AD238" s="4">
        <v>1287386</v>
      </c>
      <c r="AE238" s="4">
        <v>2574772</v>
      </c>
      <c r="AF238" s="4">
        <v>3862158</v>
      </c>
      <c r="AG238" s="4">
        <v>5149544</v>
      </c>
      <c r="AH238" s="4">
        <v>6429562</v>
      </c>
      <c r="AI238" s="4">
        <v>7709580</v>
      </c>
      <c r="AJ238" s="4">
        <v>8989598</v>
      </c>
      <c r="AK238" s="4">
        <v>10269616</v>
      </c>
      <c r="AL238" s="4">
        <v>11549634</v>
      </c>
      <c r="AM238" s="4">
        <v>12829651</v>
      </c>
      <c r="AN238" s="154">
        <v>776762</v>
      </c>
    </row>
    <row r="239" spans="1:40" x14ac:dyDescent="0.2">
      <c r="A239" s="1">
        <v>2019</v>
      </c>
      <c r="B239" s="2" t="s">
        <v>259</v>
      </c>
      <c r="C239" s="2" t="s">
        <v>259</v>
      </c>
      <c r="D239" s="1" t="s">
        <v>608</v>
      </c>
      <c r="E239" s="3">
        <v>27347238</v>
      </c>
      <c r="F239" s="3">
        <v>2902</v>
      </c>
      <c r="G239" s="3">
        <v>122956</v>
      </c>
      <c r="H239" s="1">
        <v>0</v>
      </c>
      <c r="I239" s="3">
        <v>27344336</v>
      </c>
      <c r="J239" s="3">
        <v>27221380</v>
      </c>
      <c r="K239" s="3">
        <v>27221380</v>
      </c>
      <c r="L239" s="3">
        <v>586498</v>
      </c>
      <c r="M239" s="3">
        <v>2660508</v>
      </c>
      <c r="N239" s="3">
        <v>279445</v>
      </c>
      <c r="O239" s="3">
        <v>307010</v>
      </c>
      <c r="P239" s="3">
        <v>1607164</v>
      </c>
      <c r="Q239" s="3">
        <v>21903711</v>
      </c>
      <c r="R239" s="3">
        <v>21780755</v>
      </c>
      <c r="S239" s="3">
        <v>21780755</v>
      </c>
      <c r="T239" s="3">
        <v>2734434</v>
      </c>
      <c r="U239" s="3">
        <v>2734434</v>
      </c>
      <c r="V239" s="3">
        <v>2734434</v>
      </c>
      <c r="W239" s="3">
        <v>2734434</v>
      </c>
      <c r="X239" s="3">
        <v>2713941</v>
      </c>
      <c r="Y239" s="3">
        <v>2713941</v>
      </c>
      <c r="Z239" s="4">
        <v>2713941</v>
      </c>
      <c r="AA239" s="4">
        <v>2713941</v>
      </c>
      <c r="AB239" s="4">
        <v>2713941</v>
      </c>
      <c r="AC239" s="4">
        <v>2713939</v>
      </c>
      <c r="AD239" s="4">
        <v>2734434</v>
      </c>
      <c r="AE239" s="4">
        <v>5468868</v>
      </c>
      <c r="AF239" s="4">
        <v>8203302</v>
      </c>
      <c r="AG239" s="4">
        <v>10937736</v>
      </c>
      <c r="AH239" s="4">
        <v>13651677</v>
      </c>
      <c r="AI239" s="4">
        <v>16365618</v>
      </c>
      <c r="AJ239" s="4">
        <v>19079559</v>
      </c>
      <c r="AK239" s="4">
        <v>21793500</v>
      </c>
      <c r="AL239" s="4">
        <v>24507441</v>
      </c>
      <c r="AM239" s="4">
        <v>27221380</v>
      </c>
      <c r="AN239" s="154">
        <v>2156919</v>
      </c>
    </row>
    <row r="240" spans="1:40" x14ac:dyDescent="0.2">
      <c r="A240" s="1">
        <v>2019</v>
      </c>
      <c r="B240" s="2" t="s">
        <v>260</v>
      </c>
      <c r="C240" s="2" t="s">
        <v>260</v>
      </c>
      <c r="D240" s="1" t="s">
        <v>609</v>
      </c>
      <c r="E240" s="3">
        <v>4626647</v>
      </c>
      <c r="F240" s="3">
        <v>697</v>
      </c>
      <c r="G240" s="3">
        <v>17430</v>
      </c>
      <c r="H240" s="1">
        <v>0</v>
      </c>
      <c r="I240" s="3">
        <v>4625950</v>
      </c>
      <c r="J240" s="3">
        <v>4608520</v>
      </c>
      <c r="K240" s="3">
        <v>4608520</v>
      </c>
      <c r="L240" s="3">
        <v>140759</v>
      </c>
      <c r="M240" s="3">
        <v>404222</v>
      </c>
      <c r="N240" s="3">
        <v>53396</v>
      </c>
      <c r="O240" s="3">
        <v>42517</v>
      </c>
      <c r="P240" s="3">
        <v>227832</v>
      </c>
      <c r="Q240" s="3">
        <v>3757224</v>
      </c>
      <c r="R240" s="3">
        <v>3739794</v>
      </c>
      <c r="S240" s="3">
        <v>3739794</v>
      </c>
      <c r="T240" s="3">
        <v>462595</v>
      </c>
      <c r="U240" s="3">
        <v>462595</v>
      </c>
      <c r="V240" s="3">
        <v>462595</v>
      </c>
      <c r="W240" s="3">
        <v>462595</v>
      </c>
      <c r="X240" s="3">
        <v>459690</v>
      </c>
      <c r="Y240" s="3">
        <v>459690</v>
      </c>
      <c r="Z240" s="4">
        <v>459690</v>
      </c>
      <c r="AA240" s="4">
        <v>459690</v>
      </c>
      <c r="AB240" s="4">
        <v>459690</v>
      </c>
      <c r="AC240" s="4">
        <v>459690</v>
      </c>
      <c r="AD240" s="4">
        <v>462595</v>
      </c>
      <c r="AE240" s="4">
        <v>925190</v>
      </c>
      <c r="AF240" s="4">
        <v>1387785</v>
      </c>
      <c r="AG240" s="4">
        <v>1850380</v>
      </c>
      <c r="AH240" s="4">
        <v>2310070</v>
      </c>
      <c r="AI240" s="4">
        <v>2769760</v>
      </c>
      <c r="AJ240" s="4">
        <v>3229450</v>
      </c>
      <c r="AK240" s="4">
        <v>3689140</v>
      </c>
      <c r="AL240" s="4">
        <v>4148830</v>
      </c>
      <c r="AM240" s="4">
        <v>4608520</v>
      </c>
      <c r="AN240" s="154">
        <v>294558</v>
      </c>
    </row>
    <row r="241" spans="1:40" x14ac:dyDescent="0.2">
      <c r="A241" s="1">
        <v>2019</v>
      </c>
      <c r="B241" s="2" t="s">
        <v>261</v>
      </c>
      <c r="C241" s="2" t="s">
        <v>261</v>
      </c>
      <c r="D241" s="1" t="s">
        <v>610</v>
      </c>
      <c r="E241" s="3">
        <v>2341240</v>
      </c>
      <c r="F241" s="3">
        <v>813</v>
      </c>
      <c r="G241" s="3">
        <v>17033</v>
      </c>
      <c r="H241" s="1">
        <v>0</v>
      </c>
      <c r="I241" s="3">
        <v>2340427</v>
      </c>
      <c r="J241" s="3">
        <v>2323394</v>
      </c>
      <c r="K241" s="3">
        <v>2323394</v>
      </c>
      <c r="L241" s="3">
        <v>164219</v>
      </c>
      <c r="M241" s="3">
        <v>470338</v>
      </c>
      <c r="N241" s="3">
        <v>43102</v>
      </c>
      <c r="O241" s="3">
        <v>58932</v>
      </c>
      <c r="P241" s="3">
        <v>224737</v>
      </c>
      <c r="Q241" s="3">
        <v>1379099</v>
      </c>
      <c r="R241" s="3">
        <v>1362066</v>
      </c>
      <c r="S241" s="3">
        <v>1362066</v>
      </c>
      <c r="T241" s="3">
        <v>234043</v>
      </c>
      <c r="U241" s="3">
        <v>234043</v>
      </c>
      <c r="V241" s="3">
        <v>234043</v>
      </c>
      <c r="W241" s="3">
        <v>234043</v>
      </c>
      <c r="X241" s="3">
        <v>231204</v>
      </c>
      <c r="Y241" s="3">
        <v>231204</v>
      </c>
      <c r="Z241" s="4">
        <v>231204</v>
      </c>
      <c r="AA241" s="4">
        <v>231204</v>
      </c>
      <c r="AB241" s="4">
        <v>231204</v>
      </c>
      <c r="AC241" s="4">
        <v>231202</v>
      </c>
      <c r="AD241" s="4">
        <v>234043</v>
      </c>
      <c r="AE241" s="4">
        <v>468086</v>
      </c>
      <c r="AF241" s="4">
        <v>702129</v>
      </c>
      <c r="AG241" s="4">
        <v>936172</v>
      </c>
      <c r="AH241" s="4">
        <v>1167376</v>
      </c>
      <c r="AI241" s="4">
        <v>1398580</v>
      </c>
      <c r="AJ241" s="4">
        <v>1629784</v>
      </c>
      <c r="AK241" s="4">
        <v>1860988</v>
      </c>
      <c r="AL241" s="4">
        <v>2092192</v>
      </c>
      <c r="AM241" s="4">
        <v>2323394</v>
      </c>
      <c r="AN241" s="154">
        <v>331912</v>
      </c>
    </row>
    <row r="242" spans="1:40" x14ac:dyDescent="0.2">
      <c r="A242" s="1">
        <v>2019</v>
      </c>
      <c r="B242" s="2" t="s">
        <v>262</v>
      </c>
      <c r="C242" s="2" t="s">
        <v>262</v>
      </c>
      <c r="D242" s="1" t="s">
        <v>611</v>
      </c>
      <c r="E242" s="3">
        <v>5125775</v>
      </c>
      <c r="F242" s="1">
        <v>282</v>
      </c>
      <c r="G242" s="3">
        <v>18257</v>
      </c>
      <c r="H242" s="1">
        <v>0</v>
      </c>
      <c r="I242" s="3">
        <v>5125493</v>
      </c>
      <c r="J242" s="3">
        <v>5107236</v>
      </c>
      <c r="K242" s="3">
        <v>5107236</v>
      </c>
      <c r="L242" s="3">
        <v>56974</v>
      </c>
      <c r="M242" s="3">
        <v>437802</v>
      </c>
      <c r="N242" s="3">
        <v>67119</v>
      </c>
      <c r="O242" s="3">
        <v>43116</v>
      </c>
      <c r="P242" s="3">
        <v>238639</v>
      </c>
      <c r="Q242" s="3">
        <v>4281843</v>
      </c>
      <c r="R242" s="3">
        <v>4263586</v>
      </c>
      <c r="S242" s="3">
        <v>4263586</v>
      </c>
      <c r="T242" s="3">
        <v>512549</v>
      </c>
      <c r="U242" s="3">
        <v>512549</v>
      </c>
      <c r="V242" s="3">
        <v>512549</v>
      </c>
      <c r="W242" s="3">
        <v>512549</v>
      </c>
      <c r="X242" s="3">
        <v>509507</v>
      </c>
      <c r="Y242" s="3">
        <v>509507</v>
      </c>
      <c r="Z242" s="4">
        <v>509507</v>
      </c>
      <c r="AA242" s="4">
        <v>509507</v>
      </c>
      <c r="AB242" s="4">
        <v>509507</v>
      </c>
      <c r="AC242" s="4">
        <v>509505</v>
      </c>
      <c r="AD242" s="4">
        <v>512549</v>
      </c>
      <c r="AE242" s="4">
        <v>1025098</v>
      </c>
      <c r="AF242" s="4">
        <v>1537647</v>
      </c>
      <c r="AG242" s="4">
        <v>2050196</v>
      </c>
      <c r="AH242" s="4">
        <v>2559703</v>
      </c>
      <c r="AI242" s="4">
        <v>3069210</v>
      </c>
      <c r="AJ242" s="4">
        <v>3578717</v>
      </c>
      <c r="AK242" s="4">
        <v>4088224</v>
      </c>
      <c r="AL242" s="4">
        <v>4597731</v>
      </c>
      <c r="AM242" s="4">
        <v>5107236</v>
      </c>
      <c r="AN242" s="154">
        <v>337628</v>
      </c>
    </row>
    <row r="243" spans="1:40" x14ac:dyDescent="0.2">
      <c r="A243" s="1">
        <v>2019</v>
      </c>
      <c r="B243" s="2" t="s">
        <v>263</v>
      </c>
      <c r="C243" s="2" t="s">
        <v>704</v>
      </c>
      <c r="D243" s="1" t="s">
        <v>6</v>
      </c>
      <c r="E243" s="3">
        <v>6490065</v>
      </c>
      <c r="F243" s="1">
        <v>829</v>
      </c>
      <c r="G243" s="3">
        <v>26073</v>
      </c>
      <c r="H243" s="1">
        <v>0</v>
      </c>
      <c r="I243" s="3">
        <v>6489236</v>
      </c>
      <c r="J243" s="3">
        <v>6463163</v>
      </c>
      <c r="K243" s="3">
        <v>6463163</v>
      </c>
      <c r="L243" s="3">
        <v>167571</v>
      </c>
      <c r="M243" s="3">
        <v>590394</v>
      </c>
      <c r="N243" s="3">
        <v>65091</v>
      </c>
      <c r="O243" s="3">
        <v>63515</v>
      </c>
      <c r="P243" s="3">
        <v>340801</v>
      </c>
      <c r="Q243" s="3">
        <v>5261864</v>
      </c>
      <c r="R243" s="3">
        <v>5235791</v>
      </c>
      <c r="S243" s="3">
        <v>5235791</v>
      </c>
      <c r="T243" s="3">
        <v>648924</v>
      </c>
      <c r="U243" s="3">
        <v>648924</v>
      </c>
      <c r="V243" s="3">
        <v>648924</v>
      </c>
      <c r="W243" s="3">
        <v>648924</v>
      </c>
      <c r="X243" s="3">
        <v>644578</v>
      </c>
      <c r="Y243" s="3">
        <v>644578</v>
      </c>
      <c r="Z243" s="4">
        <v>644578</v>
      </c>
      <c r="AA243" s="4">
        <v>644578</v>
      </c>
      <c r="AB243" s="4">
        <v>644578</v>
      </c>
      <c r="AC243" s="4">
        <v>644577</v>
      </c>
      <c r="AD243" s="4">
        <v>648924</v>
      </c>
      <c r="AE243" s="4">
        <v>1297848</v>
      </c>
      <c r="AF243" s="4">
        <v>1946772</v>
      </c>
      <c r="AG243" s="4">
        <v>2595696</v>
      </c>
      <c r="AH243" s="4">
        <v>3240274</v>
      </c>
      <c r="AI243" s="4">
        <v>3884852</v>
      </c>
      <c r="AJ243" s="4">
        <v>4529430</v>
      </c>
      <c r="AK243" s="4">
        <v>5174008</v>
      </c>
      <c r="AL243" s="4">
        <v>5818586</v>
      </c>
      <c r="AM243" s="4">
        <v>6463163</v>
      </c>
      <c r="AN243" s="154">
        <v>439103</v>
      </c>
    </row>
    <row r="244" spans="1:40" x14ac:dyDescent="0.2">
      <c r="A244" s="1">
        <v>2019</v>
      </c>
      <c r="B244" s="2" t="s">
        <v>264</v>
      </c>
      <c r="C244" s="2" t="s">
        <v>705</v>
      </c>
      <c r="D244" s="1" t="s">
        <v>612</v>
      </c>
      <c r="E244" s="3">
        <v>2905236</v>
      </c>
      <c r="F244" s="1">
        <v>498</v>
      </c>
      <c r="G244" s="3">
        <v>14438</v>
      </c>
      <c r="H244" s="1">
        <v>0</v>
      </c>
      <c r="I244" s="3">
        <v>2904738</v>
      </c>
      <c r="J244" s="3">
        <v>2890300</v>
      </c>
      <c r="K244" s="3">
        <v>2890300</v>
      </c>
      <c r="L244" s="3">
        <v>100542</v>
      </c>
      <c r="M244" s="3">
        <v>374933</v>
      </c>
      <c r="N244" s="3">
        <v>39565</v>
      </c>
      <c r="O244" s="3">
        <v>45058</v>
      </c>
      <c r="P244" s="3">
        <v>190729</v>
      </c>
      <c r="Q244" s="3">
        <v>2153911</v>
      </c>
      <c r="R244" s="3">
        <v>2139473</v>
      </c>
      <c r="S244" s="3">
        <v>2139473</v>
      </c>
      <c r="T244" s="3">
        <v>290474</v>
      </c>
      <c r="U244" s="3">
        <v>290474</v>
      </c>
      <c r="V244" s="3">
        <v>290474</v>
      </c>
      <c r="W244" s="3">
        <v>290474</v>
      </c>
      <c r="X244" s="3">
        <v>288067</v>
      </c>
      <c r="Y244" s="3">
        <v>288067</v>
      </c>
      <c r="Z244" s="4">
        <v>288068</v>
      </c>
      <c r="AA244" s="4">
        <v>288068</v>
      </c>
      <c r="AB244" s="4">
        <v>288068</v>
      </c>
      <c r="AC244" s="4">
        <v>288066</v>
      </c>
      <c r="AD244" s="4">
        <v>290474</v>
      </c>
      <c r="AE244" s="4">
        <v>580948</v>
      </c>
      <c r="AF244" s="4">
        <v>871422</v>
      </c>
      <c r="AG244" s="4">
        <v>1161896</v>
      </c>
      <c r="AH244" s="4">
        <v>1449963</v>
      </c>
      <c r="AI244" s="4">
        <v>1738030</v>
      </c>
      <c r="AJ244" s="4">
        <v>2026098</v>
      </c>
      <c r="AK244" s="4">
        <v>2314166</v>
      </c>
      <c r="AL244" s="4">
        <v>2602234</v>
      </c>
      <c r="AM244" s="4">
        <v>2890300</v>
      </c>
      <c r="AN244" s="154">
        <v>255645</v>
      </c>
    </row>
    <row r="245" spans="1:40" x14ac:dyDescent="0.2">
      <c r="A245" s="1">
        <v>2019</v>
      </c>
      <c r="B245" s="2" t="s">
        <v>265</v>
      </c>
      <c r="C245" s="2" t="s">
        <v>265</v>
      </c>
      <c r="D245" s="1" t="s">
        <v>613</v>
      </c>
      <c r="E245" s="3">
        <v>6411731</v>
      </c>
      <c r="F245" s="1">
        <v>912</v>
      </c>
      <c r="G245" s="3">
        <v>26405</v>
      </c>
      <c r="H245" s="1">
        <v>0</v>
      </c>
      <c r="I245" s="3">
        <v>6410819</v>
      </c>
      <c r="J245" s="3">
        <v>6384414</v>
      </c>
      <c r="K245" s="3">
        <v>6384414</v>
      </c>
      <c r="L245" s="3">
        <v>184328</v>
      </c>
      <c r="M245" s="3">
        <v>652823</v>
      </c>
      <c r="N245" s="3">
        <v>87569</v>
      </c>
      <c r="O245" s="3">
        <v>72236</v>
      </c>
      <c r="P245" s="3">
        <v>358927</v>
      </c>
      <c r="Q245" s="3">
        <v>5054936</v>
      </c>
      <c r="R245" s="3">
        <v>5028531</v>
      </c>
      <c r="S245" s="3">
        <v>5028531</v>
      </c>
      <c r="T245" s="3">
        <v>641082</v>
      </c>
      <c r="U245" s="3">
        <v>641082</v>
      </c>
      <c r="V245" s="3">
        <v>641082</v>
      </c>
      <c r="W245" s="3">
        <v>641082</v>
      </c>
      <c r="X245" s="3">
        <v>636681</v>
      </c>
      <c r="Y245" s="3">
        <v>636681</v>
      </c>
      <c r="Z245" s="4">
        <v>636681</v>
      </c>
      <c r="AA245" s="4">
        <v>636681</v>
      </c>
      <c r="AB245" s="4">
        <v>636681</v>
      </c>
      <c r="AC245" s="4">
        <v>636681</v>
      </c>
      <c r="AD245" s="4">
        <v>641082</v>
      </c>
      <c r="AE245" s="4">
        <v>1282164</v>
      </c>
      <c r="AF245" s="4">
        <v>1923246</v>
      </c>
      <c r="AG245" s="4">
        <v>2564328</v>
      </c>
      <c r="AH245" s="4">
        <v>3201009</v>
      </c>
      <c r="AI245" s="4">
        <v>3837690</v>
      </c>
      <c r="AJ245" s="4">
        <v>4474371</v>
      </c>
      <c r="AK245" s="4">
        <v>5111052</v>
      </c>
      <c r="AL245" s="4">
        <v>5747733</v>
      </c>
      <c r="AM245" s="4">
        <v>6384414</v>
      </c>
      <c r="AN245" s="154">
        <v>481501</v>
      </c>
    </row>
    <row r="246" spans="1:40" x14ac:dyDescent="0.2">
      <c r="A246" s="1">
        <v>2019</v>
      </c>
      <c r="B246" s="2" t="s">
        <v>266</v>
      </c>
      <c r="C246" s="2" t="s">
        <v>266</v>
      </c>
      <c r="D246" s="1" t="s">
        <v>614</v>
      </c>
      <c r="E246" s="3">
        <v>1434820</v>
      </c>
      <c r="F246" s="3">
        <v>348</v>
      </c>
      <c r="G246" s="3">
        <v>8603</v>
      </c>
      <c r="H246" s="3">
        <v>39697</v>
      </c>
      <c r="I246" s="3">
        <v>1434472</v>
      </c>
      <c r="J246" s="3">
        <v>1425869</v>
      </c>
      <c r="K246" s="3">
        <v>1386172</v>
      </c>
      <c r="L246" s="3">
        <v>70380</v>
      </c>
      <c r="M246" s="3">
        <v>223687</v>
      </c>
      <c r="N246" s="3">
        <v>21110</v>
      </c>
      <c r="O246" s="3">
        <v>22675</v>
      </c>
      <c r="P246" s="3">
        <v>118705</v>
      </c>
      <c r="Q246" s="3">
        <v>977915</v>
      </c>
      <c r="R246" s="3">
        <v>969312</v>
      </c>
      <c r="S246" s="3">
        <v>929615</v>
      </c>
      <c r="T246" s="3">
        <v>143447</v>
      </c>
      <c r="U246" s="3">
        <v>143447</v>
      </c>
      <c r="V246" s="3">
        <v>143447</v>
      </c>
      <c r="W246" s="3">
        <v>143447</v>
      </c>
      <c r="X246" s="3">
        <v>142014</v>
      </c>
      <c r="Y246" s="3">
        <v>142014</v>
      </c>
      <c r="Z246" s="4">
        <v>132089</v>
      </c>
      <c r="AA246" s="4">
        <v>132089</v>
      </c>
      <c r="AB246" s="4">
        <v>132089</v>
      </c>
      <c r="AC246" s="4">
        <v>132089</v>
      </c>
      <c r="AD246" s="4">
        <v>143447</v>
      </c>
      <c r="AE246" s="4">
        <v>286894</v>
      </c>
      <c r="AF246" s="4">
        <v>430341</v>
      </c>
      <c r="AG246" s="4">
        <v>573788</v>
      </c>
      <c r="AH246" s="4">
        <v>715802</v>
      </c>
      <c r="AI246" s="4">
        <v>857816</v>
      </c>
      <c r="AJ246" s="4">
        <v>989905</v>
      </c>
      <c r="AK246" s="4">
        <v>1121994</v>
      </c>
      <c r="AL246" s="4">
        <v>1254083</v>
      </c>
      <c r="AM246" s="4">
        <v>1386172</v>
      </c>
      <c r="AN246" s="154">
        <v>184527</v>
      </c>
    </row>
    <row r="247" spans="1:40" x14ac:dyDescent="0.2">
      <c r="A247" s="1">
        <v>2019</v>
      </c>
      <c r="B247" s="2" t="s">
        <v>267</v>
      </c>
      <c r="C247" s="2" t="s">
        <v>267</v>
      </c>
      <c r="D247" s="1" t="s">
        <v>615</v>
      </c>
      <c r="E247" s="3">
        <v>1284125</v>
      </c>
      <c r="F247" s="3">
        <v>415</v>
      </c>
      <c r="G247" s="3">
        <v>8201</v>
      </c>
      <c r="H247" s="1">
        <v>0</v>
      </c>
      <c r="I247" s="3">
        <v>1283710</v>
      </c>
      <c r="J247" s="3">
        <v>1275509</v>
      </c>
      <c r="K247" s="3">
        <v>1275509</v>
      </c>
      <c r="L247" s="3">
        <v>83785</v>
      </c>
      <c r="M247" s="3">
        <v>244367</v>
      </c>
      <c r="N247" s="3">
        <v>21294</v>
      </c>
      <c r="O247" s="3">
        <v>29833</v>
      </c>
      <c r="P247" s="3">
        <v>107190</v>
      </c>
      <c r="Q247" s="3">
        <v>797241</v>
      </c>
      <c r="R247" s="3">
        <v>789040</v>
      </c>
      <c r="S247" s="3">
        <v>789040</v>
      </c>
      <c r="T247" s="3">
        <v>128371</v>
      </c>
      <c r="U247" s="3">
        <v>128371</v>
      </c>
      <c r="V247" s="3">
        <v>128371</v>
      </c>
      <c r="W247" s="3">
        <v>128371</v>
      </c>
      <c r="X247" s="3">
        <v>127004</v>
      </c>
      <c r="Y247" s="3">
        <v>127004</v>
      </c>
      <c r="Z247" s="4">
        <v>127004</v>
      </c>
      <c r="AA247" s="4">
        <v>127004</v>
      </c>
      <c r="AB247" s="4">
        <v>127004</v>
      </c>
      <c r="AC247" s="4">
        <v>127005</v>
      </c>
      <c r="AD247" s="4">
        <v>128371</v>
      </c>
      <c r="AE247" s="4">
        <v>256742</v>
      </c>
      <c r="AF247" s="4">
        <v>385113</v>
      </c>
      <c r="AG247" s="4">
        <v>513484</v>
      </c>
      <c r="AH247" s="4">
        <v>640488</v>
      </c>
      <c r="AI247" s="4">
        <v>767492</v>
      </c>
      <c r="AJ247" s="4">
        <v>894496</v>
      </c>
      <c r="AK247" s="4">
        <v>1021500</v>
      </c>
      <c r="AL247" s="4">
        <v>1148504</v>
      </c>
      <c r="AM247" s="4">
        <v>1275509</v>
      </c>
      <c r="AN247" s="154">
        <v>143459</v>
      </c>
    </row>
    <row r="248" spans="1:40" x14ac:dyDescent="0.2">
      <c r="A248" s="1">
        <v>2019</v>
      </c>
      <c r="B248" s="2" t="s">
        <v>268</v>
      </c>
      <c r="C248" s="2" t="s">
        <v>268</v>
      </c>
      <c r="D248" s="1" t="s">
        <v>616</v>
      </c>
      <c r="E248" s="3">
        <v>5133796</v>
      </c>
      <c r="F248" s="3">
        <v>1294</v>
      </c>
      <c r="G248" s="3">
        <v>20113</v>
      </c>
      <c r="H248" s="3">
        <v>0</v>
      </c>
      <c r="I248" s="3">
        <v>5132502</v>
      </c>
      <c r="J248" s="3">
        <v>5112389</v>
      </c>
      <c r="K248" s="3">
        <v>5112389</v>
      </c>
      <c r="L248" s="3">
        <v>261410</v>
      </c>
      <c r="M248" s="3">
        <v>477926</v>
      </c>
      <c r="N248" s="3">
        <v>66622</v>
      </c>
      <c r="O248" s="3">
        <v>50607</v>
      </c>
      <c r="P248" s="3">
        <v>262898</v>
      </c>
      <c r="Q248" s="3">
        <v>4013039</v>
      </c>
      <c r="R248" s="3">
        <v>3992926</v>
      </c>
      <c r="S248" s="3">
        <v>3992926</v>
      </c>
      <c r="T248" s="3">
        <v>513250</v>
      </c>
      <c r="U248" s="3">
        <v>513250</v>
      </c>
      <c r="V248" s="3">
        <v>513250</v>
      </c>
      <c r="W248" s="3">
        <v>513250</v>
      </c>
      <c r="X248" s="3">
        <v>509898</v>
      </c>
      <c r="Y248" s="3">
        <v>509898</v>
      </c>
      <c r="Z248" s="4">
        <v>509898</v>
      </c>
      <c r="AA248" s="4">
        <v>509898</v>
      </c>
      <c r="AB248" s="4">
        <v>509898</v>
      </c>
      <c r="AC248" s="4">
        <v>509899</v>
      </c>
      <c r="AD248" s="4">
        <v>513250</v>
      </c>
      <c r="AE248" s="4">
        <v>1026500</v>
      </c>
      <c r="AF248" s="4">
        <v>1539750</v>
      </c>
      <c r="AG248" s="4">
        <v>2053000</v>
      </c>
      <c r="AH248" s="4">
        <v>2562898</v>
      </c>
      <c r="AI248" s="4">
        <v>3072796</v>
      </c>
      <c r="AJ248" s="4">
        <v>3582694</v>
      </c>
      <c r="AK248" s="4">
        <v>4092592</v>
      </c>
      <c r="AL248" s="4">
        <v>4602490</v>
      </c>
      <c r="AM248" s="4">
        <v>5112389</v>
      </c>
      <c r="AN248" s="154">
        <v>424489</v>
      </c>
    </row>
    <row r="249" spans="1:40" x14ac:dyDescent="0.2">
      <c r="A249" s="1">
        <v>2019</v>
      </c>
      <c r="B249" s="2" t="s">
        <v>269</v>
      </c>
      <c r="C249" s="2" t="s">
        <v>269</v>
      </c>
      <c r="D249" s="1" t="s">
        <v>617</v>
      </c>
      <c r="E249" s="3">
        <v>5941538</v>
      </c>
      <c r="F249" s="1">
        <v>912</v>
      </c>
      <c r="G249" s="3">
        <v>25261</v>
      </c>
      <c r="H249" s="1">
        <v>0</v>
      </c>
      <c r="I249" s="3">
        <v>5940626</v>
      </c>
      <c r="J249" s="3">
        <v>5915365</v>
      </c>
      <c r="K249" s="3">
        <v>5915365</v>
      </c>
      <c r="L249" s="3">
        <v>184328</v>
      </c>
      <c r="M249" s="3">
        <v>572932</v>
      </c>
      <c r="N249" s="3">
        <v>65482</v>
      </c>
      <c r="O249" s="3">
        <v>71256</v>
      </c>
      <c r="P249" s="3">
        <v>330189</v>
      </c>
      <c r="Q249" s="3">
        <v>4716439</v>
      </c>
      <c r="R249" s="3">
        <v>4691178</v>
      </c>
      <c r="S249" s="3">
        <v>4691178</v>
      </c>
      <c r="T249" s="3">
        <v>594063</v>
      </c>
      <c r="U249" s="3">
        <v>594063</v>
      </c>
      <c r="V249" s="3">
        <v>594063</v>
      </c>
      <c r="W249" s="3">
        <v>594063</v>
      </c>
      <c r="X249" s="3">
        <v>589852</v>
      </c>
      <c r="Y249" s="3">
        <v>589852</v>
      </c>
      <c r="Z249" s="4">
        <v>589852</v>
      </c>
      <c r="AA249" s="4">
        <v>589852</v>
      </c>
      <c r="AB249" s="4">
        <v>589852</v>
      </c>
      <c r="AC249" s="4">
        <v>589853</v>
      </c>
      <c r="AD249" s="4">
        <v>594063</v>
      </c>
      <c r="AE249" s="4">
        <v>1188126</v>
      </c>
      <c r="AF249" s="4">
        <v>1782189</v>
      </c>
      <c r="AG249" s="4">
        <v>2376252</v>
      </c>
      <c r="AH249" s="4">
        <v>2966104</v>
      </c>
      <c r="AI249" s="4">
        <v>3555956</v>
      </c>
      <c r="AJ249" s="4">
        <v>4145808</v>
      </c>
      <c r="AK249" s="4">
        <v>4735660</v>
      </c>
      <c r="AL249" s="4">
        <v>5325512</v>
      </c>
      <c r="AM249" s="4">
        <v>5915365</v>
      </c>
      <c r="AN249" s="154">
        <v>414437</v>
      </c>
    </row>
    <row r="250" spans="1:40" x14ac:dyDescent="0.2">
      <c r="A250" s="1">
        <v>2019</v>
      </c>
      <c r="B250" s="2" t="s">
        <v>270</v>
      </c>
      <c r="C250" s="2" t="s">
        <v>270</v>
      </c>
      <c r="D250" s="1" t="s">
        <v>618</v>
      </c>
      <c r="E250" s="3">
        <v>2242508</v>
      </c>
      <c r="F250" s="3">
        <v>315</v>
      </c>
      <c r="G250" s="3">
        <v>10441</v>
      </c>
      <c r="H250" s="1">
        <v>0</v>
      </c>
      <c r="I250" s="3">
        <v>2242193</v>
      </c>
      <c r="J250" s="3">
        <v>2231752</v>
      </c>
      <c r="K250" s="3">
        <v>2231752</v>
      </c>
      <c r="L250" s="3">
        <v>63677</v>
      </c>
      <c r="M250" s="3">
        <v>264739</v>
      </c>
      <c r="N250" s="3">
        <v>27939</v>
      </c>
      <c r="O250" s="3">
        <v>29880</v>
      </c>
      <c r="P250" s="3">
        <v>142594</v>
      </c>
      <c r="Q250" s="3">
        <v>1713364</v>
      </c>
      <c r="R250" s="3">
        <v>1702923</v>
      </c>
      <c r="S250" s="3">
        <v>1702923</v>
      </c>
      <c r="T250" s="3">
        <v>224219</v>
      </c>
      <c r="U250" s="3">
        <v>224219</v>
      </c>
      <c r="V250" s="3">
        <v>224219</v>
      </c>
      <c r="W250" s="3">
        <v>224219</v>
      </c>
      <c r="X250" s="3">
        <v>222479</v>
      </c>
      <c r="Y250" s="3">
        <v>222479</v>
      </c>
      <c r="Z250" s="4">
        <v>222480</v>
      </c>
      <c r="AA250" s="4">
        <v>222480</v>
      </c>
      <c r="AB250" s="4">
        <v>222480</v>
      </c>
      <c r="AC250" s="4">
        <v>222478</v>
      </c>
      <c r="AD250" s="4">
        <v>224219</v>
      </c>
      <c r="AE250" s="4">
        <v>448438</v>
      </c>
      <c r="AF250" s="4">
        <v>672657</v>
      </c>
      <c r="AG250" s="4">
        <v>896876</v>
      </c>
      <c r="AH250" s="4">
        <v>1119355</v>
      </c>
      <c r="AI250" s="4">
        <v>1341834</v>
      </c>
      <c r="AJ250" s="4">
        <v>1564314</v>
      </c>
      <c r="AK250" s="4">
        <v>1786794</v>
      </c>
      <c r="AL250" s="4">
        <v>2009274</v>
      </c>
      <c r="AM250" s="4">
        <v>2231752</v>
      </c>
      <c r="AN250" s="154">
        <v>199229</v>
      </c>
    </row>
    <row r="251" spans="1:40" x14ac:dyDescent="0.2">
      <c r="A251" s="1">
        <v>2019</v>
      </c>
      <c r="B251" s="2" t="s">
        <v>271</v>
      </c>
      <c r="C251" s="2" t="s">
        <v>271</v>
      </c>
      <c r="D251" s="1" t="s">
        <v>619</v>
      </c>
      <c r="E251" s="3">
        <v>1307311</v>
      </c>
      <c r="F251" s="1">
        <v>166</v>
      </c>
      <c r="G251" s="3">
        <v>5545</v>
      </c>
      <c r="H251" s="1">
        <v>0</v>
      </c>
      <c r="I251" s="3">
        <v>1307145</v>
      </c>
      <c r="J251" s="3">
        <v>1301600</v>
      </c>
      <c r="K251" s="3">
        <v>1301600</v>
      </c>
      <c r="L251" s="3">
        <v>33514</v>
      </c>
      <c r="M251" s="3">
        <v>146304</v>
      </c>
      <c r="N251" s="3">
        <v>17484</v>
      </c>
      <c r="O251" s="3">
        <v>16046</v>
      </c>
      <c r="P251" s="3">
        <v>74029</v>
      </c>
      <c r="Q251" s="3">
        <v>1019768</v>
      </c>
      <c r="R251" s="3">
        <v>1014223</v>
      </c>
      <c r="S251" s="3">
        <v>1014223</v>
      </c>
      <c r="T251" s="3">
        <v>130715</v>
      </c>
      <c r="U251" s="3">
        <v>130715</v>
      </c>
      <c r="V251" s="3">
        <v>130715</v>
      </c>
      <c r="W251" s="3">
        <v>130715</v>
      </c>
      <c r="X251" s="3">
        <v>129790</v>
      </c>
      <c r="Y251" s="3">
        <v>129790</v>
      </c>
      <c r="Z251" s="4">
        <v>129790</v>
      </c>
      <c r="AA251" s="4">
        <v>129790</v>
      </c>
      <c r="AB251" s="4">
        <v>129790</v>
      </c>
      <c r="AC251" s="4">
        <v>129790</v>
      </c>
      <c r="AD251" s="4">
        <v>130715</v>
      </c>
      <c r="AE251" s="4">
        <v>261430</v>
      </c>
      <c r="AF251" s="4">
        <v>392145</v>
      </c>
      <c r="AG251" s="4">
        <v>522860</v>
      </c>
      <c r="AH251" s="4">
        <v>652650</v>
      </c>
      <c r="AI251" s="4">
        <v>782440</v>
      </c>
      <c r="AJ251" s="4">
        <v>912230</v>
      </c>
      <c r="AK251" s="4">
        <v>1042020</v>
      </c>
      <c r="AL251" s="4">
        <v>1171810</v>
      </c>
      <c r="AM251" s="4">
        <v>1301600</v>
      </c>
      <c r="AN251" s="154">
        <v>108388</v>
      </c>
    </row>
    <row r="252" spans="1:40" x14ac:dyDescent="0.2">
      <c r="A252" s="1">
        <v>2019</v>
      </c>
      <c r="B252" s="2" t="s">
        <v>272</v>
      </c>
      <c r="C252" s="2" t="s">
        <v>272</v>
      </c>
      <c r="D252" s="1" t="s">
        <v>620</v>
      </c>
      <c r="E252" s="3">
        <v>2819498</v>
      </c>
      <c r="F252" s="1">
        <v>498</v>
      </c>
      <c r="G252" s="3">
        <v>14847</v>
      </c>
      <c r="H252" s="1">
        <v>0</v>
      </c>
      <c r="I252" s="3">
        <v>2819000</v>
      </c>
      <c r="J252" s="3">
        <v>2804153</v>
      </c>
      <c r="K252" s="3">
        <v>2804153</v>
      </c>
      <c r="L252" s="3">
        <v>100542</v>
      </c>
      <c r="M252" s="3">
        <v>338297</v>
      </c>
      <c r="N252" s="3">
        <v>37697</v>
      </c>
      <c r="O252" s="3">
        <v>39674</v>
      </c>
      <c r="P252" s="3">
        <v>194072</v>
      </c>
      <c r="Q252" s="3">
        <v>2108718</v>
      </c>
      <c r="R252" s="3">
        <v>2093871</v>
      </c>
      <c r="S252" s="3">
        <v>2093871</v>
      </c>
      <c r="T252" s="3">
        <v>281900</v>
      </c>
      <c r="U252" s="3">
        <v>281900</v>
      </c>
      <c r="V252" s="3">
        <v>281900</v>
      </c>
      <c r="W252" s="3">
        <v>281900</v>
      </c>
      <c r="X252" s="3">
        <v>279426</v>
      </c>
      <c r="Y252" s="3">
        <v>279426</v>
      </c>
      <c r="Z252" s="4">
        <v>279425</v>
      </c>
      <c r="AA252" s="4">
        <v>279425</v>
      </c>
      <c r="AB252" s="4">
        <v>279425</v>
      </c>
      <c r="AC252" s="4">
        <v>279426</v>
      </c>
      <c r="AD252" s="4">
        <v>281900</v>
      </c>
      <c r="AE252" s="4">
        <v>563800</v>
      </c>
      <c r="AF252" s="4">
        <v>845700</v>
      </c>
      <c r="AG252" s="4">
        <v>1127600</v>
      </c>
      <c r="AH252" s="4">
        <v>1407026</v>
      </c>
      <c r="AI252" s="4">
        <v>1686452</v>
      </c>
      <c r="AJ252" s="4">
        <v>1965877</v>
      </c>
      <c r="AK252" s="4">
        <v>2245302</v>
      </c>
      <c r="AL252" s="4">
        <v>2524727</v>
      </c>
      <c r="AM252" s="4">
        <v>2804153</v>
      </c>
      <c r="AN252" s="154">
        <v>261254</v>
      </c>
    </row>
    <row r="253" spans="1:40" x14ac:dyDescent="0.2">
      <c r="A253" s="1">
        <v>2019</v>
      </c>
      <c r="B253" s="2" t="s">
        <v>273</v>
      </c>
      <c r="C253" s="2" t="s">
        <v>273</v>
      </c>
      <c r="D253" s="1" t="s">
        <v>621</v>
      </c>
      <c r="E253" s="3">
        <v>4228669</v>
      </c>
      <c r="F253" s="3">
        <v>929</v>
      </c>
      <c r="G253" s="3">
        <v>27961</v>
      </c>
      <c r="H253" s="1">
        <v>0</v>
      </c>
      <c r="I253" s="3">
        <v>4227740</v>
      </c>
      <c r="J253" s="3">
        <v>4199779</v>
      </c>
      <c r="K253" s="3">
        <v>4199779</v>
      </c>
      <c r="L253" s="3">
        <v>187679</v>
      </c>
      <c r="M253" s="3">
        <v>697229</v>
      </c>
      <c r="N253" s="3">
        <v>89586</v>
      </c>
      <c r="O253" s="3">
        <v>74731</v>
      </c>
      <c r="P253" s="3">
        <v>365484</v>
      </c>
      <c r="Q253" s="3">
        <v>2813031</v>
      </c>
      <c r="R253" s="3">
        <v>2785070</v>
      </c>
      <c r="S253" s="3">
        <v>2785070</v>
      </c>
      <c r="T253" s="3">
        <v>422774</v>
      </c>
      <c r="U253" s="3">
        <v>422774</v>
      </c>
      <c r="V253" s="3">
        <v>422774</v>
      </c>
      <c r="W253" s="3">
        <v>422774</v>
      </c>
      <c r="X253" s="3">
        <v>418114</v>
      </c>
      <c r="Y253" s="3">
        <v>418114</v>
      </c>
      <c r="Z253" s="4">
        <v>418114</v>
      </c>
      <c r="AA253" s="4">
        <v>418114</v>
      </c>
      <c r="AB253" s="4">
        <v>418114</v>
      </c>
      <c r="AC253" s="4">
        <v>418113</v>
      </c>
      <c r="AD253" s="4">
        <v>422774</v>
      </c>
      <c r="AE253" s="4">
        <v>845548</v>
      </c>
      <c r="AF253" s="4">
        <v>1268322</v>
      </c>
      <c r="AG253" s="4">
        <v>1691096</v>
      </c>
      <c r="AH253" s="4">
        <v>2109210</v>
      </c>
      <c r="AI253" s="4">
        <v>2527324</v>
      </c>
      <c r="AJ253" s="4">
        <v>2945438</v>
      </c>
      <c r="AK253" s="4">
        <v>3363552</v>
      </c>
      <c r="AL253" s="4">
        <v>3781666</v>
      </c>
      <c r="AM253" s="4">
        <v>4199779</v>
      </c>
      <c r="AN253" s="154">
        <v>467947</v>
      </c>
    </row>
    <row r="254" spans="1:40" x14ac:dyDescent="0.2">
      <c r="A254" s="1">
        <v>2019</v>
      </c>
      <c r="B254" s="2" t="s">
        <v>274</v>
      </c>
      <c r="C254" s="2" t="s">
        <v>274</v>
      </c>
      <c r="D254" s="1" t="s">
        <v>622</v>
      </c>
      <c r="E254" s="3">
        <v>1677292</v>
      </c>
      <c r="F254" s="1">
        <v>381</v>
      </c>
      <c r="G254" s="3">
        <v>8720</v>
      </c>
      <c r="H254" s="1">
        <v>0</v>
      </c>
      <c r="I254" s="3">
        <v>1676911</v>
      </c>
      <c r="J254" s="3">
        <v>1668191</v>
      </c>
      <c r="K254" s="3">
        <v>1668191</v>
      </c>
      <c r="L254" s="3">
        <v>77083</v>
      </c>
      <c r="M254" s="3">
        <v>217301</v>
      </c>
      <c r="N254" s="3">
        <v>21172</v>
      </c>
      <c r="O254" s="3">
        <v>24454</v>
      </c>
      <c r="P254" s="3">
        <v>114470</v>
      </c>
      <c r="Q254" s="3">
        <v>1222431</v>
      </c>
      <c r="R254" s="3">
        <v>1213711</v>
      </c>
      <c r="S254" s="3">
        <v>1213711</v>
      </c>
      <c r="T254" s="3">
        <v>167691</v>
      </c>
      <c r="U254" s="3">
        <v>167691</v>
      </c>
      <c r="V254" s="3">
        <v>167691</v>
      </c>
      <c r="W254" s="3">
        <v>167691</v>
      </c>
      <c r="X254" s="3">
        <v>166238</v>
      </c>
      <c r="Y254" s="3">
        <v>166238</v>
      </c>
      <c r="Z254" s="4">
        <v>166238</v>
      </c>
      <c r="AA254" s="4">
        <v>166238</v>
      </c>
      <c r="AB254" s="4">
        <v>166238</v>
      </c>
      <c r="AC254" s="4">
        <v>166237</v>
      </c>
      <c r="AD254" s="4">
        <v>167691</v>
      </c>
      <c r="AE254" s="4">
        <v>335382</v>
      </c>
      <c r="AF254" s="4">
        <v>503073</v>
      </c>
      <c r="AG254" s="4">
        <v>670764</v>
      </c>
      <c r="AH254" s="4">
        <v>837002</v>
      </c>
      <c r="AI254" s="4">
        <v>1003240</v>
      </c>
      <c r="AJ254" s="4">
        <v>1169478</v>
      </c>
      <c r="AK254" s="4">
        <v>1335716</v>
      </c>
      <c r="AL254" s="4">
        <v>1501954</v>
      </c>
      <c r="AM254" s="4">
        <v>1668191</v>
      </c>
      <c r="AN254" s="154">
        <v>154157</v>
      </c>
    </row>
    <row r="255" spans="1:40" x14ac:dyDescent="0.2">
      <c r="A255" s="1">
        <v>2019</v>
      </c>
      <c r="B255" s="2" t="s">
        <v>275</v>
      </c>
      <c r="C255" s="2" t="s">
        <v>275</v>
      </c>
      <c r="D255" s="1" t="s">
        <v>623</v>
      </c>
      <c r="E255" s="3">
        <v>1321043</v>
      </c>
      <c r="F255" s="3">
        <v>265</v>
      </c>
      <c r="G255" s="3">
        <v>6644</v>
      </c>
      <c r="H255" s="1">
        <v>0</v>
      </c>
      <c r="I255" s="3">
        <v>1320778</v>
      </c>
      <c r="J255" s="3">
        <v>1314134</v>
      </c>
      <c r="K255" s="3">
        <v>1314134</v>
      </c>
      <c r="L255" s="3">
        <v>53623</v>
      </c>
      <c r="M255" s="3">
        <v>139115</v>
      </c>
      <c r="N255" s="3">
        <v>16618</v>
      </c>
      <c r="O255" s="3">
        <v>12288</v>
      </c>
      <c r="P255" s="3">
        <v>88705</v>
      </c>
      <c r="Q255" s="3">
        <v>1010429</v>
      </c>
      <c r="R255" s="3">
        <v>1003785</v>
      </c>
      <c r="S255" s="3">
        <v>1003785</v>
      </c>
      <c r="T255" s="3">
        <v>132078</v>
      </c>
      <c r="U255" s="3">
        <v>132078</v>
      </c>
      <c r="V255" s="3">
        <v>132078</v>
      </c>
      <c r="W255" s="3">
        <v>132078</v>
      </c>
      <c r="X255" s="3">
        <v>130970</v>
      </c>
      <c r="Y255" s="3">
        <v>130970</v>
      </c>
      <c r="Z255" s="4">
        <v>130971</v>
      </c>
      <c r="AA255" s="4">
        <v>130971</v>
      </c>
      <c r="AB255" s="4">
        <v>130971</v>
      </c>
      <c r="AC255" s="4">
        <v>130969</v>
      </c>
      <c r="AD255" s="4">
        <v>132078</v>
      </c>
      <c r="AE255" s="4">
        <v>264156</v>
      </c>
      <c r="AF255" s="4">
        <v>396234</v>
      </c>
      <c r="AG255" s="4">
        <v>528312</v>
      </c>
      <c r="AH255" s="4">
        <v>659282</v>
      </c>
      <c r="AI255" s="4">
        <v>790252</v>
      </c>
      <c r="AJ255" s="4">
        <v>921223</v>
      </c>
      <c r="AK255" s="4">
        <v>1052194</v>
      </c>
      <c r="AL255" s="4">
        <v>1183165</v>
      </c>
      <c r="AM255" s="4">
        <v>1314134</v>
      </c>
      <c r="AN255" s="154">
        <v>133491</v>
      </c>
    </row>
    <row r="256" spans="1:40" x14ac:dyDescent="0.2">
      <c r="A256" s="1">
        <v>2019</v>
      </c>
      <c r="B256" s="2" t="s">
        <v>276</v>
      </c>
      <c r="C256" s="2" t="s">
        <v>276</v>
      </c>
      <c r="D256" s="1" t="s">
        <v>624</v>
      </c>
      <c r="E256" s="3">
        <v>7277442</v>
      </c>
      <c r="F256" s="3">
        <v>1260</v>
      </c>
      <c r="G256" s="3">
        <v>35852</v>
      </c>
      <c r="H256" s="1">
        <v>0</v>
      </c>
      <c r="I256" s="3">
        <v>7276182</v>
      </c>
      <c r="J256" s="3">
        <v>7240330</v>
      </c>
      <c r="K256" s="3">
        <v>7240330</v>
      </c>
      <c r="L256" s="3">
        <v>254708</v>
      </c>
      <c r="M256" s="3">
        <v>843827</v>
      </c>
      <c r="N256" s="3">
        <v>99423</v>
      </c>
      <c r="O256" s="3">
        <v>102136</v>
      </c>
      <c r="P256" s="3">
        <v>468625</v>
      </c>
      <c r="Q256" s="3">
        <v>5507463</v>
      </c>
      <c r="R256" s="3">
        <v>5471611</v>
      </c>
      <c r="S256" s="3">
        <v>5471611</v>
      </c>
      <c r="T256" s="3">
        <v>727618</v>
      </c>
      <c r="U256" s="3">
        <v>727618</v>
      </c>
      <c r="V256" s="3">
        <v>727618</v>
      </c>
      <c r="W256" s="3">
        <v>727618</v>
      </c>
      <c r="X256" s="3">
        <v>721643</v>
      </c>
      <c r="Y256" s="3">
        <v>721643</v>
      </c>
      <c r="Z256" s="4">
        <v>721643</v>
      </c>
      <c r="AA256" s="4">
        <v>721643</v>
      </c>
      <c r="AB256" s="4">
        <v>721643</v>
      </c>
      <c r="AC256" s="4">
        <v>721643</v>
      </c>
      <c r="AD256" s="4">
        <v>727618</v>
      </c>
      <c r="AE256" s="4">
        <v>1455236</v>
      </c>
      <c r="AF256" s="4">
        <v>2182854</v>
      </c>
      <c r="AG256" s="4">
        <v>2910472</v>
      </c>
      <c r="AH256" s="4">
        <v>3632115</v>
      </c>
      <c r="AI256" s="4">
        <v>4353758</v>
      </c>
      <c r="AJ256" s="4">
        <v>5075401</v>
      </c>
      <c r="AK256" s="4">
        <v>5797044</v>
      </c>
      <c r="AL256" s="4">
        <v>6518687</v>
      </c>
      <c r="AM256" s="4">
        <v>7240330</v>
      </c>
      <c r="AN256" s="154">
        <v>671085</v>
      </c>
    </row>
    <row r="257" spans="1:40" x14ac:dyDescent="0.2">
      <c r="A257" s="1">
        <v>2019</v>
      </c>
      <c r="B257" s="2" t="s">
        <v>277</v>
      </c>
      <c r="C257" s="2" t="s">
        <v>277</v>
      </c>
      <c r="D257" s="1" t="s">
        <v>625</v>
      </c>
      <c r="E257" s="3">
        <v>1777450</v>
      </c>
      <c r="F257" s="1">
        <v>182</v>
      </c>
      <c r="G257" s="3">
        <v>6997</v>
      </c>
      <c r="H257" s="1">
        <v>0</v>
      </c>
      <c r="I257" s="3">
        <v>1777268</v>
      </c>
      <c r="J257" s="3">
        <v>1770271</v>
      </c>
      <c r="K257" s="3">
        <v>1770271</v>
      </c>
      <c r="L257" s="3">
        <v>36866</v>
      </c>
      <c r="M257" s="3">
        <v>212647</v>
      </c>
      <c r="N257" s="3">
        <v>23944</v>
      </c>
      <c r="O257" s="3">
        <v>23429</v>
      </c>
      <c r="P257" s="3">
        <v>96852</v>
      </c>
      <c r="Q257" s="3">
        <v>1383530</v>
      </c>
      <c r="R257" s="3">
        <v>1376533</v>
      </c>
      <c r="S257" s="3">
        <v>1376533</v>
      </c>
      <c r="T257" s="3">
        <v>177727</v>
      </c>
      <c r="U257" s="3">
        <v>177727</v>
      </c>
      <c r="V257" s="3">
        <v>177727</v>
      </c>
      <c r="W257" s="3">
        <v>177727</v>
      </c>
      <c r="X257" s="3">
        <v>176561</v>
      </c>
      <c r="Y257" s="3">
        <v>176561</v>
      </c>
      <c r="Z257" s="4">
        <v>176560</v>
      </c>
      <c r="AA257" s="4">
        <v>176560</v>
      </c>
      <c r="AB257" s="4">
        <v>176560</v>
      </c>
      <c r="AC257" s="4">
        <v>176561</v>
      </c>
      <c r="AD257" s="4">
        <v>177727</v>
      </c>
      <c r="AE257" s="4">
        <v>355454</v>
      </c>
      <c r="AF257" s="4">
        <v>533181</v>
      </c>
      <c r="AG257" s="4">
        <v>710908</v>
      </c>
      <c r="AH257" s="4">
        <v>887469</v>
      </c>
      <c r="AI257" s="4">
        <v>1064030</v>
      </c>
      <c r="AJ257" s="4">
        <v>1240590</v>
      </c>
      <c r="AK257" s="4">
        <v>1417150</v>
      </c>
      <c r="AL257" s="4">
        <v>1593710</v>
      </c>
      <c r="AM257" s="4">
        <v>1770271</v>
      </c>
      <c r="AN257" s="154">
        <v>119123</v>
      </c>
    </row>
    <row r="258" spans="1:40" x14ac:dyDescent="0.2">
      <c r="A258" s="1">
        <v>2019</v>
      </c>
      <c r="B258" s="2" t="s">
        <v>278</v>
      </c>
      <c r="C258" s="2" t="s">
        <v>278</v>
      </c>
      <c r="D258" s="1" t="s">
        <v>626</v>
      </c>
      <c r="E258" s="3">
        <v>3643582</v>
      </c>
      <c r="F258" s="3">
        <v>697</v>
      </c>
      <c r="G258" s="3">
        <v>17508</v>
      </c>
      <c r="H258" s="1">
        <v>0</v>
      </c>
      <c r="I258" s="3">
        <v>3642885</v>
      </c>
      <c r="J258" s="3">
        <v>3625377</v>
      </c>
      <c r="K258" s="3">
        <v>3625377</v>
      </c>
      <c r="L258" s="3">
        <v>140759</v>
      </c>
      <c r="M258" s="3">
        <v>449221</v>
      </c>
      <c r="N258" s="3">
        <v>41654</v>
      </c>
      <c r="O258" s="3">
        <v>51537</v>
      </c>
      <c r="P258" s="3">
        <v>228844</v>
      </c>
      <c r="Q258" s="3">
        <v>2730870</v>
      </c>
      <c r="R258" s="3">
        <v>2713362</v>
      </c>
      <c r="S258" s="3">
        <v>2713362</v>
      </c>
      <c r="T258" s="3">
        <v>364289</v>
      </c>
      <c r="U258" s="3">
        <v>364289</v>
      </c>
      <c r="V258" s="3">
        <v>364289</v>
      </c>
      <c r="W258" s="3">
        <v>364289</v>
      </c>
      <c r="X258" s="3">
        <v>361370</v>
      </c>
      <c r="Y258" s="3">
        <v>361370</v>
      </c>
      <c r="Z258" s="4">
        <v>361370</v>
      </c>
      <c r="AA258" s="4">
        <v>361370</v>
      </c>
      <c r="AB258" s="4">
        <v>361370</v>
      </c>
      <c r="AC258" s="4">
        <v>361371</v>
      </c>
      <c r="AD258" s="4">
        <v>364289</v>
      </c>
      <c r="AE258" s="4">
        <v>728578</v>
      </c>
      <c r="AF258" s="4">
        <v>1092867</v>
      </c>
      <c r="AG258" s="4">
        <v>1457156</v>
      </c>
      <c r="AH258" s="4">
        <v>1818526</v>
      </c>
      <c r="AI258" s="4">
        <v>2179896</v>
      </c>
      <c r="AJ258" s="4">
        <v>2541266</v>
      </c>
      <c r="AK258" s="4">
        <v>2902636</v>
      </c>
      <c r="AL258" s="4">
        <v>3264006</v>
      </c>
      <c r="AM258" s="4">
        <v>3625377</v>
      </c>
      <c r="AN258" s="154">
        <v>320921</v>
      </c>
    </row>
    <row r="259" spans="1:40" x14ac:dyDescent="0.2">
      <c r="A259" s="1">
        <v>2019</v>
      </c>
      <c r="B259" s="2" t="s">
        <v>279</v>
      </c>
      <c r="C259" s="2" t="s">
        <v>279</v>
      </c>
      <c r="D259" s="1" t="s">
        <v>627</v>
      </c>
      <c r="E259" s="3">
        <v>6615713</v>
      </c>
      <c r="F259" s="3">
        <v>1393</v>
      </c>
      <c r="G259" s="3">
        <v>26765</v>
      </c>
      <c r="H259" s="1">
        <v>0</v>
      </c>
      <c r="I259" s="3">
        <v>6614320</v>
      </c>
      <c r="J259" s="3">
        <v>6587555</v>
      </c>
      <c r="K259" s="3">
        <v>6587555</v>
      </c>
      <c r="L259" s="3">
        <v>281519</v>
      </c>
      <c r="M259" s="3">
        <v>599697</v>
      </c>
      <c r="N259" s="3">
        <v>74341</v>
      </c>
      <c r="O259" s="3">
        <v>63411</v>
      </c>
      <c r="P259" s="3">
        <v>349845</v>
      </c>
      <c r="Q259" s="3">
        <v>5245507</v>
      </c>
      <c r="R259" s="3">
        <v>5218742</v>
      </c>
      <c r="S259" s="3">
        <v>5218742</v>
      </c>
      <c r="T259" s="3">
        <v>661432</v>
      </c>
      <c r="U259" s="3">
        <v>661432</v>
      </c>
      <c r="V259" s="3">
        <v>661432</v>
      </c>
      <c r="W259" s="3">
        <v>661432</v>
      </c>
      <c r="X259" s="3">
        <v>656971</v>
      </c>
      <c r="Y259" s="3">
        <v>656971</v>
      </c>
      <c r="Z259" s="4">
        <v>656971</v>
      </c>
      <c r="AA259" s="4">
        <v>656971</v>
      </c>
      <c r="AB259" s="4">
        <v>656971</v>
      </c>
      <c r="AC259" s="4">
        <v>656972</v>
      </c>
      <c r="AD259" s="4">
        <v>661432</v>
      </c>
      <c r="AE259" s="4">
        <v>1322864</v>
      </c>
      <c r="AF259" s="4">
        <v>1984296</v>
      </c>
      <c r="AG259" s="4">
        <v>2645728</v>
      </c>
      <c r="AH259" s="4">
        <v>3302699</v>
      </c>
      <c r="AI259" s="4">
        <v>3959670</v>
      </c>
      <c r="AJ259" s="4">
        <v>4616641</v>
      </c>
      <c r="AK259" s="4">
        <v>5273612</v>
      </c>
      <c r="AL259" s="4">
        <v>5930583</v>
      </c>
      <c r="AM259" s="4">
        <v>6587555</v>
      </c>
      <c r="AN259" s="154">
        <v>513758</v>
      </c>
    </row>
    <row r="260" spans="1:40" x14ac:dyDescent="0.2">
      <c r="A260" s="1">
        <v>2019</v>
      </c>
      <c r="B260" s="2" t="s">
        <v>280</v>
      </c>
      <c r="C260" s="2" t="s">
        <v>280</v>
      </c>
      <c r="D260" s="1" t="s">
        <v>628</v>
      </c>
      <c r="E260" s="3">
        <v>6684184</v>
      </c>
      <c r="F260" s="3">
        <v>1061</v>
      </c>
      <c r="G260" s="3">
        <v>27050</v>
      </c>
      <c r="H260" s="1">
        <v>0</v>
      </c>
      <c r="I260" s="3">
        <v>6683123</v>
      </c>
      <c r="J260" s="3">
        <v>6656073</v>
      </c>
      <c r="K260" s="3">
        <v>6656073</v>
      </c>
      <c r="L260" s="3">
        <v>214491</v>
      </c>
      <c r="M260" s="3">
        <v>662009</v>
      </c>
      <c r="N260" s="3">
        <v>84109</v>
      </c>
      <c r="O260" s="3">
        <v>71623</v>
      </c>
      <c r="P260" s="3">
        <v>353567</v>
      </c>
      <c r="Q260" s="3">
        <v>5297324</v>
      </c>
      <c r="R260" s="3">
        <v>5270274</v>
      </c>
      <c r="S260" s="3">
        <v>5270274</v>
      </c>
      <c r="T260" s="3">
        <v>668312</v>
      </c>
      <c r="U260" s="3">
        <v>668312</v>
      </c>
      <c r="V260" s="3">
        <v>668312</v>
      </c>
      <c r="W260" s="3">
        <v>668312</v>
      </c>
      <c r="X260" s="3">
        <v>663804</v>
      </c>
      <c r="Y260" s="3">
        <v>663804</v>
      </c>
      <c r="Z260" s="4">
        <v>663804</v>
      </c>
      <c r="AA260" s="4">
        <v>663804</v>
      </c>
      <c r="AB260" s="4">
        <v>663804</v>
      </c>
      <c r="AC260" s="4">
        <v>663805</v>
      </c>
      <c r="AD260" s="4">
        <v>668312</v>
      </c>
      <c r="AE260" s="4">
        <v>1336624</v>
      </c>
      <c r="AF260" s="4">
        <v>2004936</v>
      </c>
      <c r="AG260" s="4">
        <v>2673248</v>
      </c>
      <c r="AH260" s="4">
        <v>3337052</v>
      </c>
      <c r="AI260" s="4">
        <v>4000856</v>
      </c>
      <c r="AJ260" s="4">
        <v>4664660</v>
      </c>
      <c r="AK260" s="4">
        <v>5328464</v>
      </c>
      <c r="AL260" s="4">
        <v>5992268</v>
      </c>
      <c r="AM260" s="4">
        <v>6656073</v>
      </c>
      <c r="AN260" s="154">
        <v>470419</v>
      </c>
    </row>
    <row r="261" spans="1:40" x14ac:dyDescent="0.2">
      <c r="A261" s="1">
        <v>2019</v>
      </c>
      <c r="B261" s="2" t="s">
        <v>281</v>
      </c>
      <c r="C261" s="2" t="s">
        <v>281</v>
      </c>
      <c r="D261" s="1" t="s">
        <v>629</v>
      </c>
      <c r="E261" s="3">
        <v>4357315</v>
      </c>
      <c r="F261" s="3">
        <v>779</v>
      </c>
      <c r="G261" s="3">
        <v>19299</v>
      </c>
      <c r="H261" s="1">
        <v>0</v>
      </c>
      <c r="I261" s="3">
        <v>4356536</v>
      </c>
      <c r="J261" s="3">
        <v>4337237</v>
      </c>
      <c r="K261" s="3">
        <v>4337237</v>
      </c>
      <c r="L261" s="3">
        <v>157517</v>
      </c>
      <c r="M261" s="3">
        <v>469501</v>
      </c>
      <c r="N261" s="3">
        <v>54839</v>
      </c>
      <c r="O261" s="3">
        <v>47824</v>
      </c>
      <c r="P261" s="3">
        <v>252254</v>
      </c>
      <c r="Q261" s="3">
        <v>3374601</v>
      </c>
      <c r="R261" s="3">
        <v>3355302</v>
      </c>
      <c r="S261" s="3">
        <v>3355302</v>
      </c>
      <c r="T261" s="3">
        <v>435654</v>
      </c>
      <c r="U261" s="3">
        <v>435654</v>
      </c>
      <c r="V261" s="3">
        <v>435654</v>
      </c>
      <c r="W261" s="3">
        <v>435654</v>
      </c>
      <c r="X261" s="3">
        <v>432437</v>
      </c>
      <c r="Y261" s="3">
        <v>432437</v>
      </c>
      <c r="Z261" s="4">
        <v>432437</v>
      </c>
      <c r="AA261" s="4">
        <v>432437</v>
      </c>
      <c r="AB261" s="4">
        <v>432437</v>
      </c>
      <c r="AC261" s="4">
        <v>432436</v>
      </c>
      <c r="AD261" s="4">
        <v>435654</v>
      </c>
      <c r="AE261" s="4">
        <v>871308</v>
      </c>
      <c r="AF261" s="4">
        <v>1306962</v>
      </c>
      <c r="AG261" s="4">
        <v>1742616</v>
      </c>
      <c r="AH261" s="4">
        <v>2175053</v>
      </c>
      <c r="AI261" s="4">
        <v>2607490</v>
      </c>
      <c r="AJ261" s="4">
        <v>3039927</v>
      </c>
      <c r="AK261" s="4">
        <v>3472364</v>
      </c>
      <c r="AL261" s="4">
        <v>3904801</v>
      </c>
      <c r="AM261" s="4">
        <v>4337237</v>
      </c>
      <c r="AN261" s="154">
        <v>332425</v>
      </c>
    </row>
    <row r="262" spans="1:40" x14ac:dyDescent="0.2">
      <c r="A262" s="1">
        <v>2019</v>
      </c>
      <c r="B262" s="2" t="s">
        <v>282</v>
      </c>
      <c r="C262" s="2" t="s">
        <v>282</v>
      </c>
      <c r="D262" s="1" t="s">
        <v>630</v>
      </c>
      <c r="E262" s="3">
        <v>2511491</v>
      </c>
      <c r="F262" s="3">
        <v>498</v>
      </c>
      <c r="G262" s="3">
        <v>9834</v>
      </c>
      <c r="H262" s="1">
        <v>0</v>
      </c>
      <c r="I262" s="3">
        <v>2510993</v>
      </c>
      <c r="J262" s="3">
        <v>2501159</v>
      </c>
      <c r="K262" s="3">
        <v>2501159</v>
      </c>
      <c r="L262" s="3">
        <v>100542</v>
      </c>
      <c r="M262" s="3">
        <v>263920</v>
      </c>
      <c r="N262" s="3">
        <v>29592</v>
      </c>
      <c r="O262" s="3">
        <v>27822</v>
      </c>
      <c r="P262" s="3">
        <v>132185</v>
      </c>
      <c r="Q262" s="3">
        <v>1956932</v>
      </c>
      <c r="R262" s="3">
        <v>1947098</v>
      </c>
      <c r="S262" s="3">
        <v>1947098</v>
      </c>
      <c r="T262" s="3">
        <v>251099</v>
      </c>
      <c r="U262" s="3">
        <v>251099</v>
      </c>
      <c r="V262" s="3">
        <v>251099</v>
      </c>
      <c r="W262" s="3">
        <v>251099</v>
      </c>
      <c r="X262" s="3">
        <v>249461</v>
      </c>
      <c r="Y262" s="3">
        <v>249461</v>
      </c>
      <c r="Z262" s="4">
        <v>249460</v>
      </c>
      <c r="AA262" s="4">
        <v>249460</v>
      </c>
      <c r="AB262" s="4">
        <v>249460</v>
      </c>
      <c r="AC262" s="4">
        <v>249461</v>
      </c>
      <c r="AD262" s="4">
        <v>251099</v>
      </c>
      <c r="AE262" s="4">
        <v>502198</v>
      </c>
      <c r="AF262" s="4">
        <v>753297</v>
      </c>
      <c r="AG262" s="4">
        <v>1004396</v>
      </c>
      <c r="AH262" s="4">
        <v>1253857</v>
      </c>
      <c r="AI262" s="4">
        <v>1503318</v>
      </c>
      <c r="AJ262" s="4">
        <v>1752778</v>
      </c>
      <c r="AK262" s="4">
        <v>2002238</v>
      </c>
      <c r="AL262" s="4">
        <v>2251698</v>
      </c>
      <c r="AM262" s="4">
        <v>2501159</v>
      </c>
      <c r="AN262" s="154">
        <v>176603</v>
      </c>
    </row>
    <row r="263" spans="1:40" x14ac:dyDescent="0.2">
      <c r="A263" s="1">
        <v>2019</v>
      </c>
      <c r="B263" s="2" t="s">
        <v>283</v>
      </c>
      <c r="C263" s="2" t="s">
        <v>283</v>
      </c>
      <c r="D263" s="1" t="s">
        <v>631</v>
      </c>
      <c r="E263" s="3">
        <v>3457281</v>
      </c>
      <c r="F263" s="1">
        <v>498</v>
      </c>
      <c r="G263" s="3">
        <v>13703</v>
      </c>
      <c r="H263" s="1">
        <v>0</v>
      </c>
      <c r="I263" s="3">
        <v>3456783</v>
      </c>
      <c r="J263" s="3">
        <v>3443080</v>
      </c>
      <c r="K263" s="3">
        <v>3443080</v>
      </c>
      <c r="L263" s="3">
        <v>100542</v>
      </c>
      <c r="M263" s="3">
        <v>341712</v>
      </c>
      <c r="N263" s="3">
        <v>37146</v>
      </c>
      <c r="O263" s="3">
        <v>35736</v>
      </c>
      <c r="P263" s="3">
        <v>179118</v>
      </c>
      <c r="Q263" s="3">
        <v>2762529</v>
      </c>
      <c r="R263" s="3">
        <v>2748826</v>
      </c>
      <c r="S263" s="3">
        <v>2748826</v>
      </c>
      <c r="T263" s="3">
        <v>345678</v>
      </c>
      <c r="U263" s="3">
        <v>345678</v>
      </c>
      <c r="V263" s="3">
        <v>345678</v>
      </c>
      <c r="W263" s="3">
        <v>345678</v>
      </c>
      <c r="X263" s="3">
        <v>343395</v>
      </c>
      <c r="Y263" s="3">
        <v>343395</v>
      </c>
      <c r="Z263" s="4">
        <v>343395</v>
      </c>
      <c r="AA263" s="4">
        <v>343395</v>
      </c>
      <c r="AB263" s="4">
        <v>343395</v>
      </c>
      <c r="AC263" s="4">
        <v>343393</v>
      </c>
      <c r="AD263" s="4">
        <v>345678</v>
      </c>
      <c r="AE263" s="4">
        <v>691356</v>
      </c>
      <c r="AF263" s="4">
        <v>1037034</v>
      </c>
      <c r="AG263" s="4">
        <v>1382712</v>
      </c>
      <c r="AH263" s="4">
        <v>1726107</v>
      </c>
      <c r="AI263" s="4">
        <v>2069502</v>
      </c>
      <c r="AJ263" s="4">
        <v>2412897</v>
      </c>
      <c r="AK263" s="4">
        <v>2756292</v>
      </c>
      <c r="AL263" s="4">
        <v>3099687</v>
      </c>
      <c r="AM263" s="4">
        <v>3443080</v>
      </c>
      <c r="AN263" s="154">
        <v>229965</v>
      </c>
    </row>
    <row r="264" spans="1:40" x14ac:dyDescent="0.2">
      <c r="A264" s="1">
        <v>2019</v>
      </c>
      <c r="B264" s="2" t="s">
        <v>284</v>
      </c>
      <c r="C264" s="2" t="s">
        <v>284</v>
      </c>
      <c r="D264" s="1" t="s">
        <v>632</v>
      </c>
      <c r="E264" s="3">
        <v>8127070</v>
      </c>
      <c r="F264" s="3">
        <v>2173</v>
      </c>
      <c r="G264" s="3">
        <v>32537</v>
      </c>
      <c r="H264" s="1">
        <v>0</v>
      </c>
      <c r="I264" s="3">
        <v>8124897</v>
      </c>
      <c r="J264" s="3">
        <v>8092360</v>
      </c>
      <c r="K264" s="3">
        <v>8092360</v>
      </c>
      <c r="L264" s="3">
        <v>439035</v>
      </c>
      <c r="M264" s="3">
        <v>762685</v>
      </c>
      <c r="N264" s="3">
        <v>103153</v>
      </c>
      <c r="O264" s="3">
        <v>98099</v>
      </c>
      <c r="P264" s="3">
        <v>425299</v>
      </c>
      <c r="Q264" s="3">
        <v>6296626</v>
      </c>
      <c r="R264" s="3">
        <v>6264089</v>
      </c>
      <c r="S264" s="3">
        <v>6264089</v>
      </c>
      <c r="T264" s="3">
        <v>812490</v>
      </c>
      <c r="U264" s="3">
        <v>812490</v>
      </c>
      <c r="V264" s="3">
        <v>812490</v>
      </c>
      <c r="W264" s="3">
        <v>812490</v>
      </c>
      <c r="X264" s="3">
        <v>807067</v>
      </c>
      <c r="Y264" s="3">
        <v>807067</v>
      </c>
      <c r="Z264" s="4">
        <v>807067</v>
      </c>
      <c r="AA264" s="4">
        <v>807067</v>
      </c>
      <c r="AB264" s="4">
        <v>807067</v>
      </c>
      <c r="AC264" s="4">
        <v>807065</v>
      </c>
      <c r="AD264" s="4">
        <v>812490</v>
      </c>
      <c r="AE264" s="4">
        <v>1624980</v>
      </c>
      <c r="AF264" s="4">
        <v>2437470</v>
      </c>
      <c r="AG264" s="4">
        <v>3249960</v>
      </c>
      <c r="AH264" s="4">
        <v>4057027</v>
      </c>
      <c r="AI264" s="4">
        <v>4864094</v>
      </c>
      <c r="AJ264" s="4">
        <v>5671161</v>
      </c>
      <c r="AK264" s="4">
        <v>6478228</v>
      </c>
      <c r="AL264" s="4">
        <v>7285295</v>
      </c>
      <c r="AM264" s="4">
        <v>8092360</v>
      </c>
      <c r="AN264" s="154">
        <v>682818</v>
      </c>
    </row>
    <row r="265" spans="1:40" x14ac:dyDescent="0.2">
      <c r="A265" s="1">
        <v>2019</v>
      </c>
      <c r="B265" s="2" t="s">
        <v>285</v>
      </c>
      <c r="C265" s="2" t="s">
        <v>285</v>
      </c>
      <c r="D265" s="1" t="s">
        <v>633</v>
      </c>
      <c r="E265" s="3">
        <v>109903496</v>
      </c>
      <c r="F265" s="3">
        <v>12936</v>
      </c>
      <c r="G265" s="3">
        <v>362765</v>
      </c>
      <c r="H265" s="1">
        <v>0</v>
      </c>
      <c r="I265" s="3">
        <v>109890560</v>
      </c>
      <c r="J265" s="3">
        <v>109527795</v>
      </c>
      <c r="K265" s="3">
        <v>109527795</v>
      </c>
      <c r="L265" s="3">
        <v>2614104</v>
      </c>
      <c r="M265" s="3">
        <v>8181911</v>
      </c>
      <c r="N265" s="3">
        <v>1221957</v>
      </c>
      <c r="O265" s="3">
        <v>975648</v>
      </c>
      <c r="P265" s="3">
        <v>4741727</v>
      </c>
      <c r="Q265" s="3">
        <v>92155213</v>
      </c>
      <c r="R265" s="3">
        <v>91792448</v>
      </c>
      <c r="S265" s="3">
        <v>91792448</v>
      </c>
      <c r="T265" s="3">
        <v>10989056</v>
      </c>
      <c r="U265" s="3">
        <v>10989056</v>
      </c>
      <c r="V265" s="3">
        <v>10989056</v>
      </c>
      <c r="W265" s="3">
        <v>10989056</v>
      </c>
      <c r="X265" s="3">
        <v>10928595</v>
      </c>
      <c r="Y265" s="3">
        <v>10928595</v>
      </c>
      <c r="Z265" s="4">
        <v>10928595</v>
      </c>
      <c r="AA265" s="4">
        <v>10928595</v>
      </c>
      <c r="AB265" s="4">
        <v>10928595</v>
      </c>
      <c r="AC265" s="4">
        <v>10928596</v>
      </c>
      <c r="AD265" s="4">
        <v>10989056</v>
      </c>
      <c r="AE265" s="4">
        <v>21978112</v>
      </c>
      <c r="AF265" s="4">
        <v>32967168</v>
      </c>
      <c r="AG265" s="4">
        <v>43956224</v>
      </c>
      <c r="AH265" s="4">
        <v>54884819</v>
      </c>
      <c r="AI265" s="4">
        <v>65813414</v>
      </c>
      <c r="AJ265" s="4">
        <v>76742009</v>
      </c>
      <c r="AK265" s="4">
        <v>87670604</v>
      </c>
      <c r="AL265" s="4">
        <v>98599199</v>
      </c>
      <c r="AM265" s="4">
        <v>109527795</v>
      </c>
      <c r="AN265" s="154">
        <v>6870505</v>
      </c>
    </row>
    <row r="266" spans="1:40" x14ac:dyDescent="0.2">
      <c r="A266" s="1">
        <v>2019</v>
      </c>
      <c r="B266" s="2" t="s">
        <v>286</v>
      </c>
      <c r="C266" s="2" t="s">
        <v>706</v>
      </c>
      <c r="D266" s="1" t="s">
        <v>634</v>
      </c>
      <c r="E266" s="3">
        <v>2593349</v>
      </c>
      <c r="F266" s="3">
        <v>498</v>
      </c>
      <c r="G266" s="3">
        <v>12265</v>
      </c>
      <c r="H266" s="3">
        <v>7379</v>
      </c>
      <c r="I266" s="3">
        <v>2592851</v>
      </c>
      <c r="J266" s="3">
        <v>2580586</v>
      </c>
      <c r="K266" s="3">
        <v>2573207</v>
      </c>
      <c r="L266" s="3">
        <v>100542</v>
      </c>
      <c r="M266" s="3">
        <v>343901</v>
      </c>
      <c r="N266" s="3">
        <v>35814</v>
      </c>
      <c r="O266" s="3">
        <v>39393</v>
      </c>
      <c r="P266" s="3">
        <v>160312</v>
      </c>
      <c r="Q266" s="3">
        <v>1912889</v>
      </c>
      <c r="R266" s="3">
        <v>1900624</v>
      </c>
      <c r="S266" s="3">
        <v>1893245</v>
      </c>
      <c r="T266" s="3">
        <v>259285</v>
      </c>
      <c r="U266" s="3">
        <v>259285</v>
      </c>
      <c r="V266" s="3">
        <v>259285</v>
      </c>
      <c r="W266" s="3">
        <v>259285</v>
      </c>
      <c r="X266" s="3">
        <v>257241</v>
      </c>
      <c r="Y266" s="3">
        <v>257241</v>
      </c>
      <c r="Z266" s="4">
        <v>255396</v>
      </c>
      <c r="AA266" s="4">
        <v>255396</v>
      </c>
      <c r="AB266" s="4">
        <v>255396</v>
      </c>
      <c r="AC266" s="4">
        <v>255397</v>
      </c>
      <c r="AD266" s="4">
        <v>259285</v>
      </c>
      <c r="AE266" s="4">
        <v>518570</v>
      </c>
      <c r="AF266" s="4">
        <v>777855</v>
      </c>
      <c r="AG266" s="4">
        <v>1037140</v>
      </c>
      <c r="AH266" s="4">
        <v>1294381</v>
      </c>
      <c r="AI266" s="4">
        <v>1551622</v>
      </c>
      <c r="AJ266" s="4">
        <v>1807018</v>
      </c>
      <c r="AK266" s="4">
        <v>2062414</v>
      </c>
      <c r="AL266" s="4">
        <v>2317810</v>
      </c>
      <c r="AM266" s="4">
        <v>2573207</v>
      </c>
      <c r="AN266" s="154">
        <v>218699</v>
      </c>
    </row>
    <row r="267" spans="1:40" x14ac:dyDescent="0.2">
      <c r="A267" s="1">
        <v>2019</v>
      </c>
      <c r="B267" s="2" t="s">
        <v>287</v>
      </c>
      <c r="C267" s="2" t="s">
        <v>287</v>
      </c>
      <c r="D267" s="1" t="s">
        <v>635</v>
      </c>
      <c r="E267" s="3">
        <v>4690923</v>
      </c>
      <c r="F267" s="3">
        <v>1012</v>
      </c>
      <c r="G267" s="3">
        <v>22433</v>
      </c>
      <c r="H267" s="1">
        <v>0</v>
      </c>
      <c r="I267" s="3">
        <v>4689911</v>
      </c>
      <c r="J267" s="3">
        <v>4667478</v>
      </c>
      <c r="K267" s="3">
        <v>4667478</v>
      </c>
      <c r="L267" s="3">
        <v>204436</v>
      </c>
      <c r="M267" s="3">
        <v>587199</v>
      </c>
      <c r="N267" s="3">
        <v>63238</v>
      </c>
      <c r="O267" s="3">
        <v>59908</v>
      </c>
      <c r="P267" s="3">
        <v>297441</v>
      </c>
      <c r="Q267" s="3">
        <v>3477689</v>
      </c>
      <c r="R267" s="3">
        <v>3455256</v>
      </c>
      <c r="S267" s="3">
        <v>3455256</v>
      </c>
      <c r="T267" s="3">
        <v>468991</v>
      </c>
      <c r="U267" s="3">
        <v>468991</v>
      </c>
      <c r="V267" s="3">
        <v>468991</v>
      </c>
      <c r="W267" s="3">
        <v>468991</v>
      </c>
      <c r="X267" s="3">
        <v>465252</v>
      </c>
      <c r="Y267" s="3">
        <v>465252</v>
      </c>
      <c r="Z267" s="4">
        <v>465253</v>
      </c>
      <c r="AA267" s="4">
        <v>465253</v>
      </c>
      <c r="AB267" s="4">
        <v>465253</v>
      </c>
      <c r="AC267" s="4">
        <v>465251</v>
      </c>
      <c r="AD267" s="4">
        <v>468991</v>
      </c>
      <c r="AE267" s="4">
        <v>937982</v>
      </c>
      <c r="AF267" s="4">
        <v>1406973</v>
      </c>
      <c r="AG267" s="4">
        <v>1875964</v>
      </c>
      <c r="AH267" s="4">
        <v>2341216</v>
      </c>
      <c r="AI267" s="4">
        <v>2806468</v>
      </c>
      <c r="AJ267" s="4">
        <v>3271721</v>
      </c>
      <c r="AK267" s="4">
        <v>3736974</v>
      </c>
      <c r="AL267" s="4">
        <v>4202227</v>
      </c>
      <c r="AM267" s="4">
        <v>4667478</v>
      </c>
      <c r="AN267" s="154">
        <v>403214</v>
      </c>
    </row>
    <row r="268" spans="1:40" x14ac:dyDescent="0.2">
      <c r="A268" s="1">
        <v>2019</v>
      </c>
      <c r="B268" s="2" t="s">
        <v>288</v>
      </c>
      <c r="C268" s="2" t="s">
        <v>288</v>
      </c>
      <c r="D268" s="1" t="s">
        <v>636</v>
      </c>
      <c r="E268" s="3">
        <v>7536067</v>
      </c>
      <c r="F268" s="3">
        <v>962</v>
      </c>
      <c r="G268" s="3">
        <v>33766</v>
      </c>
      <c r="H268" s="3">
        <v>0</v>
      </c>
      <c r="I268" s="3">
        <v>7535105</v>
      </c>
      <c r="J268" s="3">
        <v>7501339</v>
      </c>
      <c r="K268" s="3">
        <v>7501339</v>
      </c>
      <c r="L268" s="3">
        <v>194382</v>
      </c>
      <c r="M268" s="3">
        <v>750060</v>
      </c>
      <c r="N268" s="3">
        <v>70821</v>
      </c>
      <c r="O268" s="3">
        <v>77593</v>
      </c>
      <c r="P268" s="3">
        <v>441363</v>
      </c>
      <c r="Q268" s="3">
        <v>6000886</v>
      </c>
      <c r="R268" s="3">
        <v>5967120</v>
      </c>
      <c r="S268" s="3">
        <v>5967120</v>
      </c>
      <c r="T268" s="3">
        <v>753511</v>
      </c>
      <c r="U268" s="3">
        <v>753511</v>
      </c>
      <c r="V268" s="3">
        <v>753511</v>
      </c>
      <c r="W268" s="3">
        <v>753511</v>
      </c>
      <c r="X268" s="3">
        <v>747883</v>
      </c>
      <c r="Y268" s="3">
        <v>747883</v>
      </c>
      <c r="Z268" s="4">
        <v>747882</v>
      </c>
      <c r="AA268" s="4">
        <v>747882</v>
      </c>
      <c r="AB268" s="4">
        <v>747882</v>
      </c>
      <c r="AC268" s="4">
        <v>747883</v>
      </c>
      <c r="AD268" s="4">
        <v>753511</v>
      </c>
      <c r="AE268" s="4">
        <v>1507022</v>
      </c>
      <c r="AF268" s="4">
        <v>2260533</v>
      </c>
      <c r="AG268" s="4">
        <v>3014044</v>
      </c>
      <c r="AH268" s="4">
        <v>3761927</v>
      </c>
      <c r="AI268" s="4">
        <v>4509810</v>
      </c>
      <c r="AJ268" s="4">
        <v>5257692</v>
      </c>
      <c r="AK268" s="4">
        <v>6005574</v>
      </c>
      <c r="AL268" s="4">
        <v>6753456</v>
      </c>
      <c r="AM268" s="4">
        <v>7501339</v>
      </c>
      <c r="AN268" s="154">
        <v>581308</v>
      </c>
    </row>
    <row r="269" spans="1:40" x14ac:dyDescent="0.2">
      <c r="A269" s="1">
        <v>2019</v>
      </c>
      <c r="B269" s="2" t="s">
        <v>289</v>
      </c>
      <c r="C269" s="2" t="s">
        <v>289</v>
      </c>
      <c r="D269" s="1" t="s">
        <v>637</v>
      </c>
      <c r="E269" s="3">
        <v>3663700</v>
      </c>
      <c r="F269" s="1">
        <v>448</v>
      </c>
      <c r="G269" s="3">
        <v>13806</v>
      </c>
      <c r="H269" s="1">
        <v>0</v>
      </c>
      <c r="I269" s="3">
        <v>3663252</v>
      </c>
      <c r="J269" s="3">
        <v>3649446</v>
      </c>
      <c r="K269" s="3">
        <v>3649446</v>
      </c>
      <c r="L269" s="3">
        <v>90488</v>
      </c>
      <c r="M269" s="3">
        <v>340876</v>
      </c>
      <c r="N269" s="3">
        <v>34594</v>
      </c>
      <c r="O269" s="3">
        <v>35972</v>
      </c>
      <c r="P269" s="3">
        <v>188046</v>
      </c>
      <c r="Q269" s="3">
        <v>2973276</v>
      </c>
      <c r="R269" s="3">
        <v>2959470</v>
      </c>
      <c r="S269" s="3">
        <v>2959470</v>
      </c>
      <c r="T269" s="3">
        <v>366325</v>
      </c>
      <c r="U269" s="3">
        <v>366325</v>
      </c>
      <c r="V269" s="3">
        <v>366325</v>
      </c>
      <c r="W269" s="3">
        <v>366325</v>
      </c>
      <c r="X269" s="3">
        <v>364024</v>
      </c>
      <c r="Y269" s="3">
        <v>364024</v>
      </c>
      <c r="Z269" s="4">
        <v>364025</v>
      </c>
      <c r="AA269" s="4">
        <v>364025</v>
      </c>
      <c r="AB269" s="4">
        <v>364025</v>
      </c>
      <c r="AC269" s="4">
        <v>364023</v>
      </c>
      <c r="AD269" s="4">
        <v>366325</v>
      </c>
      <c r="AE269" s="4">
        <v>732650</v>
      </c>
      <c r="AF269" s="4">
        <v>1098975</v>
      </c>
      <c r="AG269" s="4">
        <v>1465300</v>
      </c>
      <c r="AH269" s="4">
        <v>1829324</v>
      </c>
      <c r="AI269" s="4">
        <v>2193348</v>
      </c>
      <c r="AJ269" s="4">
        <v>2557373</v>
      </c>
      <c r="AK269" s="4">
        <v>2921398</v>
      </c>
      <c r="AL269" s="4">
        <v>3285423</v>
      </c>
      <c r="AM269" s="4">
        <v>3649446</v>
      </c>
      <c r="AN269" s="154">
        <v>242945</v>
      </c>
    </row>
    <row r="270" spans="1:40" x14ac:dyDescent="0.2">
      <c r="A270" s="1">
        <v>2019</v>
      </c>
      <c r="B270" s="2" t="s">
        <v>290</v>
      </c>
      <c r="C270" s="2" t="s">
        <v>290</v>
      </c>
      <c r="D270" s="1" t="s">
        <v>638</v>
      </c>
      <c r="E270" s="3">
        <v>3455682</v>
      </c>
      <c r="F270" s="3">
        <v>614</v>
      </c>
      <c r="G270" s="3">
        <v>15914</v>
      </c>
      <c r="H270" s="1">
        <v>0</v>
      </c>
      <c r="I270" s="3">
        <v>3455068</v>
      </c>
      <c r="J270" s="3">
        <v>3439154</v>
      </c>
      <c r="K270" s="3">
        <v>3439154</v>
      </c>
      <c r="L270" s="3">
        <v>124002</v>
      </c>
      <c r="M270" s="3">
        <v>411019</v>
      </c>
      <c r="N270" s="3">
        <v>46273</v>
      </c>
      <c r="O270" s="3">
        <v>48598</v>
      </c>
      <c r="P270" s="3">
        <v>208013</v>
      </c>
      <c r="Q270" s="3">
        <v>2617163</v>
      </c>
      <c r="R270" s="3">
        <v>2601249</v>
      </c>
      <c r="S270" s="3">
        <v>2601249</v>
      </c>
      <c r="T270" s="3">
        <v>345507</v>
      </c>
      <c r="U270" s="3">
        <v>345507</v>
      </c>
      <c r="V270" s="3">
        <v>345507</v>
      </c>
      <c r="W270" s="3">
        <v>345507</v>
      </c>
      <c r="X270" s="3">
        <v>342854</v>
      </c>
      <c r="Y270" s="3">
        <v>342854</v>
      </c>
      <c r="Z270" s="4">
        <v>342855</v>
      </c>
      <c r="AA270" s="4">
        <v>342855</v>
      </c>
      <c r="AB270" s="4">
        <v>342855</v>
      </c>
      <c r="AC270" s="4">
        <v>342853</v>
      </c>
      <c r="AD270" s="4">
        <v>345507</v>
      </c>
      <c r="AE270" s="4">
        <v>691014</v>
      </c>
      <c r="AF270" s="4">
        <v>1036521</v>
      </c>
      <c r="AG270" s="4">
        <v>1382028</v>
      </c>
      <c r="AH270" s="4">
        <v>1724882</v>
      </c>
      <c r="AI270" s="4">
        <v>2067736</v>
      </c>
      <c r="AJ270" s="4">
        <v>2410591</v>
      </c>
      <c r="AK270" s="4">
        <v>2753446</v>
      </c>
      <c r="AL270" s="4">
        <v>3096301</v>
      </c>
      <c r="AM270" s="4">
        <v>3439154</v>
      </c>
      <c r="AN270" s="154">
        <v>280900</v>
      </c>
    </row>
    <row r="271" spans="1:40" x14ac:dyDescent="0.2">
      <c r="A271" s="1">
        <v>2019</v>
      </c>
      <c r="B271" s="2" t="s">
        <v>291</v>
      </c>
      <c r="C271" s="2" t="s">
        <v>291</v>
      </c>
      <c r="D271" s="1" t="s">
        <v>639</v>
      </c>
      <c r="E271" s="3">
        <v>3396481</v>
      </c>
      <c r="F271" s="1">
        <v>415</v>
      </c>
      <c r="G271" s="3">
        <v>13738</v>
      </c>
      <c r="H271" s="1">
        <v>0</v>
      </c>
      <c r="I271" s="3">
        <v>3396066</v>
      </c>
      <c r="J271" s="3">
        <v>3382328</v>
      </c>
      <c r="K271" s="3">
        <v>3382328</v>
      </c>
      <c r="L271" s="3">
        <v>83785</v>
      </c>
      <c r="M271" s="3">
        <v>352979</v>
      </c>
      <c r="N271" s="3">
        <v>42746</v>
      </c>
      <c r="O271" s="3">
        <v>41047</v>
      </c>
      <c r="P271" s="3">
        <v>179575</v>
      </c>
      <c r="Q271" s="3">
        <v>2695934</v>
      </c>
      <c r="R271" s="3">
        <v>2682196</v>
      </c>
      <c r="S271" s="3">
        <v>2682196</v>
      </c>
      <c r="T271" s="3">
        <v>339607</v>
      </c>
      <c r="U271" s="3">
        <v>339607</v>
      </c>
      <c r="V271" s="3">
        <v>339607</v>
      </c>
      <c r="W271" s="3">
        <v>339607</v>
      </c>
      <c r="X271" s="3">
        <v>337317</v>
      </c>
      <c r="Y271" s="3">
        <v>337317</v>
      </c>
      <c r="Z271" s="4">
        <v>337317</v>
      </c>
      <c r="AA271" s="4">
        <v>337317</v>
      </c>
      <c r="AB271" s="4">
        <v>337317</v>
      </c>
      <c r="AC271" s="4">
        <v>337315</v>
      </c>
      <c r="AD271" s="4">
        <v>339607</v>
      </c>
      <c r="AE271" s="4">
        <v>679214</v>
      </c>
      <c r="AF271" s="4">
        <v>1018821</v>
      </c>
      <c r="AG271" s="4">
        <v>1358428</v>
      </c>
      <c r="AH271" s="4">
        <v>1695745</v>
      </c>
      <c r="AI271" s="4">
        <v>2033062</v>
      </c>
      <c r="AJ271" s="4">
        <v>2370379</v>
      </c>
      <c r="AK271" s="4">
        <v>2707696</v>
      </c>
      <c r="AL271" s="4">
        <v>3045013</v>
      </c>
      <c r="AM271" s="4">
        <v>3382328</v>
      </c>
      <c r="AN271" s="154">
        <v>248014</v>
      </c>
    </row>
    <row r="272" spans="1:40" x14ac:dyDescent="0.2">
      <c r="A272" s="1">
        <v>2019</v>
      </c>
      <c r="B272" s="2" t="s">
        <v>292</v>
      </c>
      <c r="C272" s="2" t="s">
        <v>292</v>
      </c>
      <c r="D272" s="1" t="s">
        <v>640</v>
      </c>
      <c r="E272" s="3">
        <v>1237384</v>
      </c>
      <c r="F272" s="1">
        <v>199</v>
      </c>
      <c r="G272" s="3">
        <v>5173</v>
      </c>
      <c r="H272" s="1">
        <v>0</v>
      </c>
      <c r="I272" s="3">
        <v>1237185</v>
      </c>
      <c r="J272" s="3">
        <v>1232012</v>
      </c>
      <c r="K272" s="3">
        <v>1232012</v>
      </c>
      <c r="L272" s="3">
        <v>40217</v>
      </c>
      <c r="M272" s="3">
        <v>139900</v>
      </c>
      <c r="N272" s="3">
        <v>11602</v>
      </c>
      <c r="O272" s="3">
        <v>14081</v>
      </c>
      <c r="P272" s="3">
        <v>67618</v>
      </c>
      <c r="Q272" s="3">
        <v>963767</v>
      </c>
      <c r="R272" s="3">
        <v>958594</v>
      </c>
      <c r="S272" s="3">
        <v>958594</v>
      </c>
      <c r="T272" s="3">
        <v>123719</v>
      </c>
      <c r="U272" s="3">
        <v>123719</v>
      </c>
      <c r="V272" s="3">
        <v>123719</v>
      </c>
      <c r="W272" s="3">
        <v>123719</v>
      </c>
      <c r="X272" s="3">
        <v>122856</v>
      </c>
      <c r="Y272" s="3">
        <v>122856</v>
      </c>
      <c r="Z272" s="4">
        <v>122856</v>
      </c>
      <c r="AA272" s="4">
        <v>122856</v>
      </c>
      <c r="AB272" s="4">
        <v>122856</v>
      </c>
      <c r="AC272" s="4">
        <v>122856</v>
      </c>
      <c r="AD272" s="4">
        <v>123719</v>
      </c>
      <c r="AE272" s="4">
        <v>247438</v>
      </c>
      <c r="AF272" s="4">
        <v>371157</v>
      </c>
      <c r="AG272" s="4">
        <v>494876</v>
      </c>
      <c r="AH272" s="4">
        <v>617732</v>
      </c>
      <c r="AI272" s="4">
        <v>740588</v>
      </c>
      <c r="AJ272" s="4">
        <v>863444</v>
      </c>
      <c r="AK272" s="4">
        <v>986300</v>
      </c>
      <c r="AL272" s="4">
        <v>1109156</v>
      </c>
      <c r="AM272" s="4">
        <v>1232012</v>
      </c>
      <c r="AN272" s="154">
        <v>95858</v>
      </c>
    </row>
    <row r="273" spans="1:40" x14ac:dyDescent="0.2">
      <c r="A273" s="1">
        <v>2019</v>
      </c>
      <c r="B273" s="2" t="s">
        <v>293</v>
      </c>
      <c r="C273" s="2" t="s">
        <v>293</v>
      </c>
      <c r="D273" s="1" t="s">
        <v>641</v>
      </c>
      <c r="E273" s="3">
        <v>10940389</v>
      </c>
      <c r="F273" s="3">
        <v>1410</v>
      </c>
      <c r="G273" s="3">
        <v>38492</v>
      </c>
      <c r="H273" s="1">
        <v>0</v>
      </c>
      <c r="I273" s="3">
        <v>10938979</v>
      </c>
      <c r="J273" s="3">
        <v>10900487</v>
      </c>
      <c r="K273" s="3">
        <v>10900487</v>
      </c>
      <c r="L273" s="3">
        <v>284870</v>
      </c>
      <c r="M273" s="3">
        <v>928264</v>
      </c>
      <c r="N273" s="3">
        <v>121194</v>
      </c>
      <c r="O273" s="3">
        <v>96607</v>
      </c>
      <c r="P273" s="3">
        <v>505918</v>
      </c>
      <c r="Q273" s="3">
        <v>9002126</v>
      </c>
      <c r="R273" s="3">
        <v>8963634</v>
      </c>
      <c r="S273" s="3">
        <v>8963634</v>
      </c>
      <c r="T273" s="3">
        <v>1093898</v>
      </c>
      <c r="U273" s="3">
        <v>1093898</v>
      </c>
      <c r="V273" s="3">
        <v>1093898</v>
      </c>
      <c r="W273" s="3">
        <v>1093898</v>
      </c>
      <c r="X273" s="3">
        <v>1087483</v>
      </c>
      <c r="Y273" s="3">
        <v>1087483</v>
      </c>
      <c r="Z273" s="4">
        <v>1087482</v>
      </c>
      <c r="AA273" s="4">
        <v>1087482</v>
      </c>
      <c r="AB273" s="4">
        <v>1087482</v>
      </c>
      <c r="AC273" s="4">
        <v>1087483</v>
      </c>
      <c r="AD273" s="4">
        <v>1093898</v>
      </c>
      <c r="AE273" s="4">
        <v>2187796</v>
      </c>
      <c r="AF273" s="4">
        <v>3281694</v>
      </c>
      <c r="AG273" s="4">
        <v>4375592</v>
      </c>
      <c r="AH273" s="4">
        <v>5463075</v>
      </c>
      <c r="AI273" s="4">
        <v>6550558</v>
      </c>
      <c r="AJ273" s="4">
        <v>7638040</v>
      </c>
      <c r="AK273" s="4">
        <v>8725522</v>
      </c>
      <c r="AL273" s="4">
        <v>9813004</v>
      </c>
      <c r="AM273" s="4">
        <v>10900487</v>
      </c>
      <c r="AN273" s="154">
        <v>717169</v>
      </c>
    </row>
    <row r="274" spans="1:40" x14ac:dyDescent="0.2">
      <c r="A274" s="1">
        <v>2019</v>
      </c>
      <c r="B274" s="2" t="s">
        <v>294</v>
      </c>
      <c r="C274" s="2" t="s">
        <v>294</v>
      </c>
      <c r="D274" s="1" t="s">
        <v>642</v>
      </c>
      <c r="E274" s="3">
        <v>2820501</v>
      </c>
      <c r="F274" s="1">
        <v>796</v>
      </c>
      <c r="G274" s="3">
        <v>12414</v>
      </c>
      <c r="H274" s="1">
        <v>0</v>
      </c>
      <c r="I274" s="3">
        <v>2819705</v>
      </c>
      <c r="J274" s="3">
        <v>2807291</v>
      </c>
      <c r="K274" s="3">
        <v>2807291</v>
      </c>
      <c r="L274" s="3">
        <v>160868</v>
      </c>
      <c r="M274" s="3">
        <v>303677</v>
      </c>
      <c r="N274" s="3">
        <v>26424</v>
      </c>
      <c r="O274" s="3">
        <v>34963</v>
      </c>
      <c r="P274" s="3">
        <v>165191</v>
      </c>
      <c r="Q274" s="3">
        <v>2128582</v>
      </c>
      <c r="R274" s="3">
        <v>2116168</v>
      </c>
      <c r="S274" s="3">
        <v>2116168</v>
      </c>
      <c r="T274" s="3">
        <v>281971</v>
      </c>
      <c r="U274" s="3">
        <v>281971</v>
      </c>
      <c r="V274" s="3">
        <v>281971</v>
      </c>
      <c r="W274" s="3">
        <v>281971</v>
      </c>
      <c r="X274" s="3">
        <v>279901</v>
      </c>
      <c r="Y274" s="3">
        <v>279901</v>
      </c>
      <c r="Z274" s="4">
        <v>279901</v>
      </c>
      <c r="AA274" s="4">
        <v>279901</v>
      </c>
      <c r="AB274" s="4">
        <v>279901</v>
      </c>
      <c r="AC274" s="4">
        <v>279902</v>
      </c>
      <c r="AD274" s="4">
        <v>281971</v>
      </c>
      <c r="AE274" s="4">
        <v>563942</v>
      </c>
      <c r="AF274" s="4">
        <v>845913</v>
      </c>
      <c r="AG274" s="4">
        <v>1127884</v>
      </c>
      <c r="AH274" s="4">
        <v>1407785</v>
      </c>
      <c r="AI274" s="4">
        <v>1687686</v>
      </c>
      <c r="AJ274" s="4">
        <v>1967587</v>
      </c>
      <c r="AK274" s="4">
        <v>2247488</v>
      </c>
      <c r="AL274" s="4">
        <v>2527389</v>
      </c>
      <c r="AM274" s="4">
        <v>2807291</v>
      </c>
      <c r="AN274" s="154">
        <v>256708</v>
      </c>
    </row>
    <row r="275" spans="1:40" x14ac:dyDescent="0.2">
      <c r="A275" s="1">
        <v>2019</v>
      </c>
      <c r="B275" s="2" t="s">
        <v>295</v>
      </c>
      <c r="C275" s="2" t="s">
        <v>295</v>
      </c>
      <c r="D275" s="1" t="s">
        <v>643</v>
      </c>
      <c r="E275" s="3">
        <v>42898828</v>
      </c>
      <c r="F275" s="3">
        <v>4378</v>
      </c>
      <c r="G275" s="3">
        <v>170933</v>
      </c>
      <c r="H275" s="1">
        <v>0</v>
      </c>
      <c r="I275" s="3">
        <v>42894450</v>
      </c>
      <c r="J275" s="3">
        <v>42723517</v>
      </c>
      <c r="K275" s="3">
        <v>42723517</v>
      </c>
      <c r="L275" s="3">
        <v>881442</v>
      </c>
      <c r="M275" s="3">
        <v>3737359</v>
      </c>
      <c r="N275" s="3">
        <v>424546</v>
      </c>
      <c r="O275" s="3">
        <v>427899</v>
      </c>
      <c r="P275" s="3">
        <v>2234272</v>
      </c>
      <c r="Q275" s="3">
        <v>35188932</v>
      </c>
      <c r="R275" s="3">
        <v>35017999</v>
      </c>
      <c r="S275" s="3">
        <v>35017999</v>
      </c>
      <c r="T275" s="3">
        <v>4289445</v>
      </c>
      <c r="U275" s="3">
        <v>4289445</v>
      </c>
      <c r="V275" s="3">
        <v>4289445</v>
      </c>
      <c r="W275" s="3">
        <v>4289445</v>
      </c>
      <c r="X275" s="3">
        <v>4260956</v>
      </c>
      <c r="Y275" s="3">
        <v>4260956</v>
      </c>
      <c r="Z275" s="4">
        <v>4260956</v>
      </c>
      <c r="AA275" s="4">
        <v>4260956</v>
      </c>
      <c r="AB275" s="4">
        <v>4260956</v>
      </c>
      <c r="AC275" s="4">
        <v>4260957</v>
      </c>
      <c r="AD275" s="4">
        <v>4289445</v>
      </c>
      <c r="AE275" s="4">
        <v>8578890</v>
      </c>
      <c r="AF275" s="4">
        <v>12868335</v>
      </c>
      <c r="AG275" s="4">
        <v>17157780</v>
      </c>
      <c r="AH275" s="4">
        <v>21418736</v>
      </c>
      <c r="AI275" s="4">
        <v>25679692</v>
      </c>
      <c r="AJ275" s="4">
        <v>29940648</v>
      </c>
      <c r="AK275" s="4">
        <v>34201604</v>
      </c>
      <c r="AL275" s="4">
        <v>38462560</v>
      </c>
      <c r="AM275" s="4">
        <v>42723517</v>
      </c>
      <c r="AN275" s="154">
        <v>2994193</v>
      </c>
    </row>
    <row r="276" spans="1:40" x14ac:dyDescent="0.2">
      <c r="A276" s="1">
        <v>2019</v>
      </c>
      <c r="B276" s="2" t="s">
        <v>296</v>
      </c>
      <c r="C276" s="2" t="s">
        <v>296</v>
      </c>
      <c r="D276" s="1" t="s">
        <v>644</v>
      </c>
      <c r="E276" s="3">
        <v>11997331</v>
      </c>
      <c r="F276" s="3">
        <v>2521</v>
      </c>
      <c r="G276" s="3">
        <v>47385</v>
      </c>
      <c r="H276" s="1">
        <v>0</v>
      </c>
      <c r="I276" s="3">
        <v>11994810</v>
      </c>
      <c r="J276" s="3">
        <v>11947425</v>
      </c>
      <c r="K276" s="3">
        <v>11947425</v>
      </c>
      <c r="L276" s="3">
        <v>509415</v>
      </c>
      <c r="M276" s="3">
        <v>1115740</v>
      </c>
      <c r="N276" s="3">
        <v>132202</v>
      </c>
      <c r="O276" s="3">
        <v>134820</v>
      </c>
      <c r="P276" s="3">
        <v>619371</v>
      </c>
      <c r="Q276" s="3">
        <v>9483262</v>
      </c>
      <c r="R276" s="3">
        <v>9435877</v>
      </c>
      <c r="S276" s="3">
        <v>9435877</v>
      </c>
      <c r="T276" s="3">
        <v>1199481</v>
      </c>
      <c r="U276" s="3">
        <v>1199481</v>
      </c>
      <c r="V276" s="3">
        <v>1199481</v>
      </c>
      <c r="W276" s="3">
        <v>1199481</v>
      </c>
      <c r="X276" s="3">
        <v>1191584</v>
      </c>
      <c r="Y276" s="3">
        <v>1191584</v>
      </c>
      <c r="Z276" s="4">
        <v>1191583</v>
      </c>
      <c r="AA276" s="4">
        <v>1191583</v>
      </c>
      <c r="AB276" s="4">
        <v>1191583</v>
      </c>
      <c r="AC276" s="4">
        <v>1191584</v>
      </c>
      <c r="AD276" s="4">
        <v>1199481</v>
      </c>
      <c r="AE276" s="4">
        <v>2398962</v>
      </c>
      <c r="AF276" s="4">
        <v>3598443</v>
      </c>
      <c r="AG276" s="4">
        <v>4797924</v>
      </c>
      <c r="AH276" s="4">
        <v>5989508</v>
      </c>
      <c r="AI276" s="4">
        <v>7181092</v>
      </c>
      <c r="AJ276" s="4">
        <v>8372675</v>
      </c>
      <c r="AK276" s="4">
        <v>9564258</v>
      </c>
      <c r="AL276" s="4">
        <v>10755841</v>
      </c>
      <c r="AM276" s="4">
        <v>11947425</v>
      </c>
      <c r="AN276" s="154">
        <v>910500</v>
      </c>
    </row>
    <row r="277" spans="1:40" x14ac:dyDescent="0.2">
      <c r="A277" s="1">
        <v>2019</v>
      </c>
      <c r="B277" s="2" t="s">
        <v>297</v>
      </c>
      <c r="C277" s="2" t="s">
        <v>297</v>
      </c>
      <c r="D277" s="1" t="s">
        <v>645</v>
      </c>
      <c r="E277" s="3">
        <v>2669270</v>
      </c>
      <c r="F277" s="3">
        <v>896</v>
      </c>
      <c r="G277" s="3">
        <v>29000</v>
      </c>
      <c r="H277" s="1">
        <v>0</v>
      </c>
      <c r="I277" s="3">
        <v>2668374</v>
      </c>
      <c r="J277" s="3">
        <v>2639374</v>
      </c>
      <c r="K277" s="3">
        <v>2639374</v>
      </c>
      <c r="L277" s="3">
        <v>180976</v>
      </c>
      <c r="M277" s="3">
        <v>676793</v>
      </c>
      <c r="N277" s="3">
        <v>76672</v>
      </c>
      <c r="O277" s="3">
        <v>80306</v>
      </c>
      <c r="P277" s="3">
        <v>379067</v>
      </c>
      <c r="Q277" s="3">
        <v>1274560</v>
      </c>
      <c r="R277" s="3">
        <v>1245560</v>
      </c>
      <c r="S277" s="3">
        <v>1245560</v>
      </c>
      <c r="T277" s="3">
        <v>266837</v>
      </c>
      <c r="U277" s="3">
        <v>266837</v>
      </c>
      <c r="V277" s="3">
        <v>266837</v>
      </c>
      <c r="W277" s="3">
        <v>266837</v>
      </c>
      <c r="X277" s="3">
        <v>262004</v>
      </c>
      <c r="Y277" s="3">
        <v>262004</v>
      </c>
      <c r="Z277" s="4">
        <v>262005</v>
      </c>
      <c r="AA277" s="4">
        <v>262005</v>
      </c>
      <c r="AB277" s="4">
        <v>262005</v>
      </c>
      <c r="AC277" s="4">
        <v>262003</v>
      </c>
      <c r="AD277" s="4">
        <v>266837</v>
      </c>
      <c r="AE277" s="4">
        <v>533674</v>
      </c>
      <c r="AF277" s="4">
        <v>800511</v>
      </c>
      <c r="AG277" s="4">
        <v>1067348</v>
      </c>
      <c r="AH277" s="4">
        <v>1329352</v>
      </c>
      <c r="AI277" s="4">
        <v>1591356</v>
      </c>
      <c r="AJ277" s="4">
        <v>1853361</v>
      </c>
      <c r="AK277" s="4">
        <v>2115366</v>
      </c>
      <c r="AL277" s="4">
        <v>2377371</v>
      </c>
      <c r="AM277" s="4">
        <v>2639374</v>
      </c>
      <c r="AN277" s="154">
        <v>519084</v>
      </c>
    </row>
    <row r="278" spans="1:40" x14ac:dyDescent="0.2">
      <c r="A278" s="1">
        <v>2019</v>
      </c>
      <c r="B278" s="2" t="s">
        <v>298</v>
      </c>
      <c r="C278" s="2" t="s">
        <v>298</v>
      </c>
      <c r="D278" s="1" t="s">
        <v>646</v>
      </c>
      <c r="E278" s="3">
        <v>2451498</v>
      </c>
      <c r="F278" s="3">
        <v>514</v>
      </c>
      <c r="G278" s="3">
        <v>9744</v>
      </c>
      <c r="H278" s="1">
        <v>0</v>
      </c>
      <c r="I278" s="3">
        <v>2450984</v>
      </c>
      <c r="J278" s="3">
        <v>2441240</v>
      </c>
      <c r="K278" s="3">
        <v>2441240</v>
      </c>
      <c r="L278" s="3">
        <v>100562</v>
      </c>
      <c r="M278" s="3">
        <v>244659</v>
      </c>
      <c r="N278" s="3">
        <v>21588</v>
      </c>
      <c r="O278" s="3">
        <v>23414</v>
      </c>
      <c r="P278" s="3">
        <v>127368</v>
      </c>
      <c r="Q278" s="3">
        <v>1933393</v>
      </c>
      <c r="R278" s="3">
        <v>1923649</v>
      </c>
      <c r="S278" s="3">
        <v>1923649</v>
      </c>
      <c r="T278" s="3">
        <v>245098</v>
      </c>
      <c r="U278" s="3">
        <v>245098</v>
      </c>
      <c r="V278" s="3">
        <v>245098</v>
      </c>
      <c r="W278" s="3">
        <v>245098</v>
      </c>
      <c r="X278" s="3">
        <v>243475</v>
      </c>
      <c r="Y278" s="3">
        <v>243475</v>
      </c>
      <c r="Z278" s="4">
        <v>243475</v>
      </c>
      <c r="AA278" s="4">
        <v>243475</v>
      </c>
      <c r="AB278" s="4">
        <v>243475</v>
      </c>
      <c r="AC278" s="4">
        <v>243473</v>
      </c>
      <c r="AD278" s="4">
        <v>245098</v>
      </c>
      <c r="AE278" s="4">
        <v>490196</v>
      </c>
      <c r="AF278" s="4">
        <v>735294</v>
      </c>
      <c r="AG278" s="4">
        <v>980392</v>
      </c>
      <c r="AH278" s="4">
        <v>1223867</v>
      </c>
      <c r="AI278" s="4">
        <v>1467342</v>
      </c>
      <c r="AJ278" s="4">
        <v>1710817</v>
      </c>
      <c r="AK278" s="4">
        <v>1954292</v>
      </c>
      <c r="AL278" s="4">
        <v>2197767</v>
      </c>
      <c r="AM278" s="4">
        <v>2441240</v>
      </c>
      <c r="AN278" s="154">
        <v>166354</v>
      </c>
    </row>
    <row r="279" spans="1:40" x14ac:dyDescent="0.2">
      <c r="A279" s="1">
        <v>2019</v>
      </c>
      <c r="B279" s="2" t="s">
        <v>299</v>
      </c>
      <c r="C279" s="2" t="s">
        <v>299</v>
      </c>
      <c r="D279" s="1" t="s">
        <v>647</v>
      </c>
      <c r="E279" s="3">
        <v>1238525</v>
      </c>
      <c r="F279" s="3">
        <v>232</v>
      </c>
      <c r="G279" s="3">
        <v>4748</v>
      </c>
      <c r="H279" s="1">
        <v>0</v>
      </c>
      <c r="I279" s="3">
        <v>1238293</v>
      </c>
      <c r="J279" s="3">
        <v>1233545</v>
      </c>
      <c r="K279" s="3">
        <v>1233545</v>
      </c>
      <c r="L279" s="3">
        <v>46920</v>
      </c>
      <c r="M279" s="3">
        <v>135867</v>
      </c>
      <c r="N279" s="3">
        <v>13544</v>
      </c>
      <c r="O279" s="3">
        <v>16830</v>
      </c>
      <c r="P279" s="3">
        <v>65979</v>
      </c>
      <c r="Q279" s="3">
        <v>959153</v>
      </c>
      <c r="R279" s="3">
        <v>954405</v>
      </c>
      <c r="S279" s="3">
        <v>954405</v>
      </c>
      <c r="T279" s="3">
        <v>123829</v>
      </c>
      <c r="U279" s="3">
        <v>123829</v>
      </c>
      <c r="V279" s="3">
        <v>123829</v>
      </c>
      <c r="W279" s="3">
        <v>123829</v>
      </c>
      <c r="X279" s="3">
        <v>123038</v>
      </c>
      <c r="Y279" s="3">
        <v>123038</v>
      </c>
      <c r="Z279" s="4">
        <v>123038</v>
      </c>
      <c r="AA279" s="4">
        <v>123038</v>
      </c>
      <c r="AB279" s="4">
        <v>123038</v>
      </c>
      <c r="AC279" s="4">
        <v>123039</v>
      </c>
      <c r="AD279" s="4">
        <v>123829</v>
      </c>
      <c r="AE279" s="4">
        <v>247658</v>
      </c>
      <c r="AF279" s="4">
        <v>371487</v>
      </c>
      <c r="AG279" s="4">
        <v>495316</v>
      </c>
      <c r="AH279" s="4">
        <v>618354</v>
      </c>
      <c r="AI279" s="4">
        <v>741392</v>
      </c>
      <c r="AJ279" s="4">
        <v>864430</v>
      </c>
      <c r="AK279" s="4">
        <v>987468</v>
      </c>
      <c r="AL279" s="4">
        <v>1110506</v>
      </c>
      <c r="AM279" s="4">
        <v>1233545</v>
      </c>
      <c r="AN279" s="154">
        <v>83720</v>
      </c>
    </row>
    <row r="280" spans="1:40" x14ac:dyDescent="0.2">
      <c r="A280" s="1">
        <v>2019</v>
      </c>
      <c r="B280" s="2" t="s">
        <v>300</v>
      </c>
      <c r="C280" s="2" t="s">
        <v>300</v>
      </c>
      <c r="D280" s="1" t="s">
        <v>648</v>
      </c>
      <c r="E280" s="3">
        <v>3708936</v>
      </c>
      <c r="F280" s="1">
        <v>630</v>
      </c>
      <c r="G280" s="3">
        <v>15472</v>
      </c>
      <c r="H280" s="1">
        <v>0</v>
      </c>
      <c r="I280" s="3">
        <v>3708306</v>
      </c>
      <c r="J280" s="3">
        <v>3692834</v>
      </c>
      <c r="K280" s="3">
        <v>3692834</v>
      </c>
      <c r="L280" s="3">
        <v>127354</v>
      </c>
      <c r="M280" s="3">
        <v>399086</v>
      </c>
      <c r="N280" s="3">
        <v>49012</v>
      </c>
      <c r="O280" s="3">
        <v>44256</v>
      </c>
      <c r="P280" s="3">
        <v>204759</v>
      </c>
      <c r="Q280" s="3">
        <v>2883839</v>
      </c>
      <c r="R280" s="3">
        <v>2868367</v>
      </c>
      <c r="S280" s="3">
        <v>2868367</v>
      </c>
      <c r="T280" s="3">
        <v>370831</v>
      </c>
      <c r="U280" s="3">
        <v>370831</v>
      </c>
      <c r="V280" s="3">
        <v>370831</v>
      </c>
      <c r="W280" s="3">
        <v>370831</v>
      </c>
      <c r="X280" s="3">
        <v>368252</v>
      </c>
      <c r="Y280" s="3">
        <v>368252</v>
      </c>
      <c r="Z280" s="4">
        <v>368252</v>
      </c>
      <c r="AA280" s="4">
        <v>368252</v>
      </c>
      <c r="AB280" s="4">
        <v>368252</v>
      </c>
      <c r="AC280" s="4">
        <v>368250</v>
      </c>
      <c r="AD280" s="4">
        <v>370831</v>
      </c>
      <c r="AE280" s="4">
        <v>741662</v>
      </c>
      <c r="AF280" s="4">
        <v>1112493</v>
      </c>
      <c r="AG280" s="4">
        <v>1483324</v>
      </c>
      <c r="AH280" s="4">
        <v>1851576</v>
      </c>
      <c r="AI280" s="4">
        <v>2219828</v>
      </c>
      <c r="AJ280" s="4">
        <v>2588080</v>
      </c>
      <c r="AK280" s="4">
        <v>2956332</v>
      </c>
      <c r="AL280" s="4">
        <v>3324584</v>
      </c>
      <c r="AM280" s="4">
        <v>3692834</v>
      </c>
      <c r="AN280" s="154">
        <v>273872</v>
      </c>
    </row>
    <row r="281" spans="1:40" x14ac:dyDescent="0.2">
      <c r="A281" s="1">
        <v>2019</v>
      </c>
      <c r="B281" s="2" t="s">
        <v>301</v>
      </c>
      <c r="C281" s="2" t="s">
        <v>301</v>
      </c>
      <c r="D281" s="1" t="s">
        <v>649</v>
      </c>
      <c r="E281" s="3">
        <v>17622436</v>
      </c>
      <c r="F281" s="3">
        <v>2156</v>
      </c>
      <c r="G281" s="3">
        <v>58725</v>
      </c>
      <c r="H281" s="1">
        <v>0</v>
      </c>
      <c r="I281" s="3">
        <v>17620280</v>
      </c>
      <c r="J281" s="3">
        <v>17561555</v>
      </c>
      <c r="K281" s="3">
        <v>17561555</v>
      </c>
      <c r="L281" s="3">
        <v>435684</v>
      </c>
      <c r="M281" s="3">
        <v>1331700</v>
      </c>
      <c r="N281" s="3">
        <v>196779</v>
      </c>
      <c r="O281" s="3">
        <v>153544</v>
      </c>
      <c r="P281" s="3">
        <v>767602</v>
      </c>
      <c r="Q281" s="3">
        <v>14734971</v>
      </c>
      <c r="R281" s="3">
        <v>14676246</v>
      </c>
      <c r="S281" s="3">
        <v>14676246</v>
      </c>
      <c r="T281" s="3">
        <v>1762028</v>
      </c>
      <c r="U281" s="3">
        <v>1762028</v>
      </c>
      <c r="V281" s="3">
        <v>1762028</v>
      </c>
      <c r="W281" s="3">
        <v>1762028</v>
      </c>
      <c r="X281" s="3">
        <v>1752241</v>
      </c>
      <c r="Y281" s="3">
        <v>1752241</v>
      </c>
      <c r="Z281" s="4">
        <v>1752240</v>
      </c>
      <c r="AA281" s="4">
        <v>1752240</v>
      </c>
      <c r="AB281" s="4">
        <v>1752240</v>
      </c>
      <c r="AC281" s="4">
        <v>1752241</v>
      </c>
      <c r="AD281" s="4">
        <v>1762028</v>
      </c>
      <c r="AE281" s="4">
        <v>3524056</v>
      </c>
      <c r="AF281" s="4">
        <v>5286084</v>
      </c>
      <c r="AG281" s="4">
        <v>7048112</v>
      </c>
      <c r="AH281" s="4">
        <v>8800353</v>
      </c>
      <c r="AI281" s="4">
        <v>10552594</v>
      </c>
      <c r="AJ281" s="4">
        <v>12304834</v>
      </c>
      <c r="AK281" s="4">
        <v>14057074</v>
      </c>
      <c r="AL281" s="4">
        <v>15809314</v>
      </c>
      <c r="AM281" s="4">
        <v>17561555</v>
      </c>
      <c r="AN281" s="154">
        <v>1129498</v>
      </c>
    </row>
    <row r="282" spans="1:40" x14ac:dyDescent="0.2">
      <c r="A282" s="1">
        <v>2019</v>
      </c>
      <c r="B282" s="2" t="s">
        <v>302</v>
      </c>
      <c r="C282" s="2" t="s">
        <v>302</v>
      </c>
      <c r="D282" s="1" t="s">
        <v>650</v>
      </c>
      <c r="E282" s="3">
        <v>976136</v>
      </c>
      <c r="F282" s="1">
        <v>149</v>
      </c>
      <c r="G282" s="3">
        <v>3767</v>
      </c>
      <c r="H282" s="1">
        <v>0</v>
      </c>
      <c r="I282" s="3">
        <v>975987</v>
      </c>
      <c r="J282" s="3">
        <v>972220</v>
      </c>
      <c r="K282" s="3">
        <v>972220</v>
      </c>
      <c r="L282" s="3">
        <v>30163</v>
      </c>
      <c r="M282" s="3">
        <v>88882</v>
      </c>
      <c r="N282" s="3">
        <v>9870</v>
      </c>
      <c r="O282" s="3">
        <v>8654</v>
      </c>
      <c r="P282" s="3">
        <v>51949</v>
      </c>
      <c r="Q282" s="3">
        <v>786469</v>
      </c>
      <c r="R282" s="3">
        <v>782702</v>
      </c>
      <c r="S282" s="3">
        <v>782702</v>
      </c>
      <c r="T282" s="3">
        <v>97599</v>
      </c>
      <c r="U282" s="3">
        <v>97599</v>
      </c>
      <c r="V282" s="3">
        <v>97599</v>
      </c>
      <c r="W282" s="3">
        <v>97599</v>
      </c>
      <c r="X282" s="3">
        <v>96971</v>
      </c>
      <c r="Y282" s="3">
        <v>96971</v>
      </c>
      <c r="Z282" s="4">
        <v>96971</v>
      </c>
      <c r="AA282" s="4">
        <v>96971</v>
      </c>
      <c r="AB282" s="4">
        <v>96971</v>
      </c>
      <c r="AC282" s="4">
        <v>96969</v>
      </c>
      <c r="AD282" s="4">
        <v>97599</v>
      </c>
      <c r="AE282" s="4">
        <v>195198</v>
      </c>
      <c r="AF282" s="4">
        <v>292797</v>
      </c>
      <c r="AG282" s="4">
        <v>390396</v>
      </c>
      <c r="AH282" s="4">
        <v>487367</v>
      </c>
      <c r="AI282" s="4">
        <v>584338</v>
      </c>
      <c r="AJ282" s="4">
        <v>681309</v>
      </c>
      <c r="AK282" s="4">
        <v>778280</v>
      </c>
      <c r="AL282" s="4">
        <v>875251</v>
      </c>
      <c r="AM282" s="4">
        <v>972220</v>
      </c>
      <c r="AN282" s="154">
        <v>78554</v>
      </c>
    </row>
    <row r="283" spans="1:40" x14ac:dyDescent="0.2">
      <c r="A283" s="1">
        <v>2019</v>
      </c>
      <c r="B283" s="2" t="s">
        <v>303</v>
      </c>
      <c r="C283" s="2" t="s">
        <v>303</v>
      </c>
      <c r="D283" s="1" t="s">
        <v>651</v>
      </c>
      <c r="E283" s="3">
        <v>5107283</v>
      </c>
      <c r="F283" s="3">
        <v>896</v>
      </c>
      <c r="G283" s="3">
        <v>22791</v>
      </c>
      <c r="H283" s="1">
        <v>0</v>
      </c>
      <c r="I283" s="3">
        <v>5106387</v>
      </c>
      <c r="J283" s="3">
        <v>5083596</v>
      </c>
      <c r="K283" s="3">
        <v>5083596</v>
      </c>
      <c r="L283" s="3">
        <v>180976</v>
      </c>
      <c r="M283" s="3">
        <v>542668</v>
      </c>
      <c r="N283" s="3">
        <v>58686</v>
      </c>
      <c r="O283" s="3">
        <v>53102</v>
      </c>
      <c r="P283" s="3">
        <v>297899</v>
      </c>
      <c r="Q283" s="3">
        <v>3973056</v>
      </c>
      <c r="R283" s="3">
        <v>3950265</v>
      </c>
      <c r="S283" s="3">
        <v>3950265</v>
      </c>
      <c r="T283" s="3">
        <v>510639</v>
      </c>
      <c r="U283" s="3">
        <v>510639</v>
      </c>
      <c r="V283" s="3">
        <v>510639</v>
      </c>
      <c r="W283" s="3">
        <v>510639</v>
      </c>
      <c r="X283" s="3">
        <v>506840</v>
      </c>
      <c r="Y283" s="3">
        <v>506840</v>
      </c>
      <c r="Z283" s="4">
        <v>506840</v>
      </c>
      <c r="AA283" s="4">
        <v>506840</v>
      </c>
      <c r="AB283" s="4">
        <v>506840</v>
      </c>
      <c r="AC283" s="4">
        <v>506840</v>
      </c>
      <c r="AD283" s="4">
        <v>510639</v>
      </c>
      <c r="AE283" s="4">
        <v>1021278</v>
      </c>
      <c r="AF283" s="4">
        <v>1531917</v>
      </c>
      <c r="AG283" s="4">
        <v>2042556</v>
      </c>
      <c r="AH283" s="4">
        <v>2549396</v>
      </c>
      <c r="AI283" s="4">
        <v>3056236</v>
      </c>
      <c r="AJ283" s="4">
        <v>3563076</v>
      </c>
      <c r="AK283" s="4">
        <v>4069916</v>
      </c>
      <c r="AL283" s="4">
        <v>4576756</v>
      </c>
      <c r="AM283" s="4">
        <v>5083596</v>
      </c>
      <c r="AN283" s="154">
        <v>393766</v>
      </c>
    </row>
    <row r="284" spans="1:40" x14ac:dyDescent="0.2">
      <c r="A284" s="1">
        <v>2019</v>
      </c>
      <c r="B284" s="2" t="s">
        <v>304</v>
      </c>
      <c r="C284" s="2" t="s">
        <v>304</v>
      </c>
      <c r="D284" s="1" t="s">
        <v>652</v>
      </c>
      <c r="E284" s="3">
        <v>4612736</v>
      </c>
      <c r="F284" s="1">
        <v>680</v>
      </c>
      <c r="G284" s="3">
        <v>20218</v>
      </c>
      <c r="H284" s="1">
        <v>0</v>
      </c>
      <c r="I284" s="3">
        <v>4612056</v>
      </c>
      <c r="J284" s="3">
        <v>4591838</v>
      </c>
      <c r="K284" s="3">
        <v>4591838</v>
      </c>
      <c r="L284" s="3">
        <v>137408</v>
      </c>
      <c r="M284" s="3">
        <v>486080</v>
      </c>
      <c r="N284" s="3">
        <v>49259</v>
      </c>
      <c r="O284" s="3">
        <v>53448</v>
      </c>
      <c r="P284" s="3">
        <v>265534</v>
      </c>
      <c r="Q284" s="3">
        <v>3620327</v>
      </c>
      <c r="R284" s="3">
        <v>3600109</v>
      </c>
      <c r="S284" s="3">
        <v>3600109</v>
      </c>
      <c r="T284" s="3">
        <v>461206</v>
      </c>
      <c r="U284" s="3">
        <v>461206</v>
      </c>
      <c r="V284" s="3">
        <v>461206</v>
      </c>
      <c r="W284" s="3">
        <v>461206</v>
      </c>
      <c r="X284" s="3">
        <v>457836</v>
      </c>
      <c r="Y284" s="3">
        <v>457836</v>
      </c>
      <c r="Z284" s="4">
        <v>457836</v>
      </c>
      <c r="AA284" s="4">
        <v>457836</v>
      </c>
      <c r="AB284" s="4">
        <v>457836</v>
      </c>
      <c r="AC284" s="4">
        <v>457834</v>
      </c>
      <c r="AD284" s="4">
        <v>461206</v>
      </c>
      <c r="AE284" s="4">
        <v>922412</v>
      </c>
      <c r="AF284" s="4">
        <v>1383618</v>
      </c>
      <c r="AG284" s="4">
        <v>1844824</v>
      </c>
      <c r="AH284" s="4">
        <v>2302660</v>
      </c>
      <c r="AI284" s="4">
        <v>2760496</v>
      </c>
      <c r="AJ284" s="4">
        <v>3218332</v>
      </c>
      <c r="AK284" s="4">
        <v>3676168</v>
      </c>
      <c r="AL284" s="4">
        <v>4134004</v>
      </c>
      <c r="AM284" s="4">
        <v>4591838</v>
      </c>
      <c r="AN284" s="154">
        <v>361124</v>
      </c>
    </row>
    <row r="285" spans="1:40" x14ac:dyDescent="0.2">
      <c r="A285" s="1">
        <v>2019</v>
      </c>
      <c r="B285" s="2" t="s">
        <v>305</v>
      </c>
      <c r="C285" s="2" t="s">
        <v>305</v>
      </c>
      <c r="D285" s="1" t="s">
        <v>653</v>
      </c>
      <c r="E285" s="3">
        <v>5133014</v>
      </c>
      <c r="F285" s="1">
        <v>796</v>
      </c>
      <c r="G285" s="3">
        <v>22061</v>
      </c>
      <c r="H285" s="1">
        <v>0</v>
      </c>
      <c r="I285" s="3">
        <v>5132218</v>
      </c>
      <c r="J285" s="3">
        <v>5110157</v>
      </c>
      <c r="K285" s="3">
        <v>5110157</v>
      </c>
      <c r="L285" s="3">
        <v>160868</v>
      </c>
      <c r="M285" s="3">
        <v>507038</v>
      </c>
      <c r="N285" s="3">
        <v>59386</v>
      </c>
      <c r="O285" s="3">
        <v>53901</v>
      </c>
      <c r="P285" s="3">
        <v>290652</v>
      </c>
      <c r="Q285" s="3">
        <v>4060373</v>
      </c>
      <c r="R285" s="3">
        <v>4038312</v>
      </c>
      <c r="S285" s="3">
        <v>4038312</v>
      </c>
      <c r="T285" s="3">
        <v>513222</v>
      </c>
      <c r="U285" s="3">
        <v>513222</v>
      </c>
      <c r="V285" s="3">
        <v>513222</v>
      </c>
      <c r="W285" s="3">
        <v>513222</v>
      </c>
      <c r="X285" s="3">
        <v>509545</v>
      </c>
      <c r="Y285" s="3">
        <v>509545</v>
      </c>
      <c r="Z285" s="4">
        <v>509545</v>
      </c>
      <c r="AA285" s="4">
        <v>509545</v>
      </c>
      <c r="AB285" s="4">
        <v>509545</v>
      </c>
      <c r="AC285" s="4">
        <v>509544</v>
      </c>
      <c r="AD285" s="4">
        <v>513222</v>
      </c>
      <c r="AE285" s="4">
        <v>1026444</v>
      </c>
      <c r="AF285" s="4">
        <v>1539666</v>
      </c>
      <c r="AG285" s="4">
        <v>2052888</v>
      </c>
      <c r="AH285" s="4">
        <v>2562433</v>
      </c>
      <c r="AI285" s="4">
        <v>3071978</v>
      </c>
      <c r="AJ285" s="4">
        <v>3581523</v>
      </c>
      <c r="AK285" s="4">
        <v>4091068</v>
      </c>
      <c r="AL285" s="4">
        <v>4600613</v>
      </c>
      <c r="AM285" s="4">
        <v>5110157</v>
      </c>
      <c r="AN285" s="154">
        <v>380625</v>
      </c>
    </row>
    <row r="286" spans="1:40" x14ac:dyDescent="0.2">
      <c r="A286" s="1">
        <v>2019</v>
      </c>
      <c r="B286" s="2" t="s">
        <v>306</v>
      </c>
      <c r="C286" s="2" t="s">
        <v>306</v>
      </c>
      <c r="D286" s="1" t="s">
        <v>654</v>
      </c>
      <c r="E286" s="3">
        <v>3120456</v>
      </c>
      <c r="F286" s="1">
        <v>0</v>
      </c>
      <c r="G286" s="3">
        <v>15195</v>
      </c>
      <c r="H286" s="1">
        <v>0</v>
      </c>
      <c r="I286" s="3">
        <v>3120456</v>
      </c>
      <c r="J286" s="3">
        <v>3105261</v>
      </c>
      <c r="K286" s="3">
        <v>3105261</v>
      </c>
      <c r="L286" s="3">
        <v>0</v>
      </c>
      <c r="M286" s="3">
        <v>357188</v>
      </c>
      <c r="N286" s="3">
        <v>39235</v>
      </c>
      <c r="O286" s="3">
        <v>37508</v>
      </c>
      <c r="P286" s="3">
        <v>198610</v>
      </c>
      <c r="Q286" s="3">
        <v>2487915</v>
      </c>
      <c r="R286" s="3">
        <v>2472720</v>
      </c>
      <c r="S286" s="3">
        <v>2472720</v>
      </c>
      <c r="T286" s="3">
        <v>312046</v>
      </c>
      <c r="U286" s="3">
        <v>312046</v>
      </c>
      <c r="V286" s="3">
        <v>312046</v>
      </c>
      <c r="W286" s="3">
        <v>312046</v>
      </c>
      <c r="X286" s="3">
        <v>309513</v>
      </c>
      <c r="Y286" s="3">
        <v>309513</v>
      </c>
      <c r="Z286" s="4">
        <v>309513</v>
      </c>
      <c r="AA286" s="4">
        <v>309513</v>
      </c>
      <c r="AB286" s="4">
        <v>309513</v>
      </c>
      <c r="AC286" s="4">
        <v>309512</v>
      </c>
      <c r="AD286" s="4">
        <v>312046</v>
      </c>
      <c r="AE286" s="4">
        <v>624092</v>
      </c>
      <c r="AF286" s="4">
        <v>936138</v>
      </c>
      <c r="AG286" s="4">
        <v>1248184</v>
      </c>
      <c r="AH286" s="4">
        <v>1557697</v>
      </c>
      <c r="AI286" s="4">
        <v>1867210</v>
      </c>
      <c r="AJ286" s="4">
        <v>2176723</v>
      </c>
      <c r="AK286" s="4">
        <v>2486236</v>
      </c>
      <c r="AL286" s="4">
        <v>2795749</v>
      </c>
      <c r="AM286" s="4">
        <v>3105261</v>
      </c>
      <c r="AN286" s="154">
        <v>267123</v>
      </c>
    </row>
    <row r="287" spans="1:40" x14ac:dyDescent="0.2">
      <c r="A287" s="1">
        <v>2019</v>
      </c>
      <c r="B287" s="2" t="s">
        <v>307</v>
      </c>
      <c r="C287" s="2" t="s">
        <v>307</v>
      </c>
      <c r="D287" s="1" t="s">
        <v>655</v>
      </c>
      <c r="E287" s="3">
        <v>3700193</v>
      </c>
      <c r="F287" s="1">
        <v>531</v>
      </c>
      <c r="G287" s="3">
        <v>16114</v>
      </c>
      <c r="H287" s="1">
        <v>0</v>
      </c>
      <c r="I287" s="3">
        <v>3699662</v>
      </c>
      <c r="J287" s="3">
        <v>3683548</v>
      </c>
      <c r="K287" s="3">
        <v>3683548</v>
      </c>
      <c r="L287" s="3">
        <v>107245</v>
      </c>
      <c r="M287" s="3">
        <v>376971</v>
      </c>
      <c r="N287" s="3">
        <v>41203</v>
      </c>
      <c r="O287" s="3">
        <v>42215</v>
      </c>
      <c r="P287" s="3">
        <v>210625</v>
      </c>
      <c r="Q287" s="3">
        <v>2921403</v>
      </c>
      <c r="R287" s="3">
        <v>2905289</v>
      </c>
      <c r="S287" s="3">
        <v>2905289</v>
      </c>
      <c r="T287" s="3">
        <v>369966</v>
      </c>
      <c r="U287" s="3">
        <v>369966</v>
      </c>
      <c r="V287" s="3">
        <v>369966</v>
      </c>
      <c r="W287" s="3">
        <v>369966</v>
      </c>
      <c r="X287" s="3">
        <v>367281</v>
      </c>
      <c r="Y287" s="3">
        <v>367281</v>
      </c>
      <c r="Z287" s="4">
        <v>367281</v>
      </c>
      <c r="AA287" s="4">
        <v>367281</v>
      </c>
      <c r="AB287" s="4">
        <v>367281</v>
      </c>
      <c r="AC287" s="4">
        <v>367279</v>
      </c>
      <c r="AD287" s="4">
        <v>369966</v>
      </c>
      <c r="AE287" s="4">
        <v>739932</v>
      </c>
      <c r="AF287" s="4">
        <v>1109898</v>
      </c>
      <c r="AG287" s="4">
        <v>1479864</v>
      </c>
      <c r="AH287" s="4">
        <v>1847145</v>
      </c>
      <c r="AI287" s="4">
        <v>2214426</v>
      </c>
      <c r="AJ287" s="4">
        <v>2581707</v>
      </c>
      <c r="AK287" s="4">
        <v>2948988</v>
      </c>
      <c r="AL287" s="4">
        <v>3316269</v>
      </c>
      <c r="AM287" s="4">
        <v>3683548</v>
      </c>
      <c r="AN287" s="154">
        <v>277527</v>
      </c>
    </row>
    <row r="288" spans="1:40" x14ac:dyDescent="0.2">
      <c r="A288" s="1">
        <v>2019</v>
      </c>
      <c r="B288" s="2" t="s">
        <v>308</v>
      </c>
      <c r="C288" s="2" t="s">
        <v>308</v>
      </c>
      <c r="D288" s="1" t="s">
        <v>656</v>
      </c>
      <c r="E288" s="3">
        <v>1647476</v>
      </c>
      <c r="F288" s="1">
        <v>100</v>
      </c>
      <c r="G288" s="3">
        <v>6879</v>
      </c>
      <c r="H288" s="1">
        <v>0</v>
      </c>
      <c r="I288" s="3">
        <v>1647376</v>
      </c>
      <c r="J288" s="3">
        <v>1640497</v>
      </c>
      <c r="K288" s="3">
        <v>1640497</v>
      </c>
      <c r="L288" s="3">
        <v>20108</v>
      </c>
      <c r="M288" s="3">
        <v>188376</v>
      </c>
      <c r="N288" s="3">
        <v>22077</v>
      </c>
      <c r="O288" s="3">
        <v>17204</v>
      </c>
      <c r="P288" s="3">
        <v>91485</v>
      </c>
      <c r="Q288" s="3">
        <v>1308126</v>
      </c>
      <c r="R288" s="3">
        <v>1301247</v>
      </c>
      <c r="S288" s="3">
        <v>1301247</v>
      </c>
      <c r="T288" s="3">
        <v>164738</v>
      </c>
      <c r="U288" s="3">
        <v>164738</v>
      </c>
      <c r="V288" s="3">
        <v>164738</v>
      </c>
      <c r="W288" s="3">
        <v>164738</v>
      </c>
      <c r="X288" s="3">
        <v>163591</v>
      </c>
      <c r="Y288" s="3">
        <v>163591</v>
      </c>
      <c r="Z288" s="4">
        <v>163591</v>
      </c>
      <c r="AA288" s="4">
        <v>163591</v>
      </c>
      <c r="AB288" s="4">
        <v>163591</v>
      </c>
      <c r="AC288" s="4">
        <v>163590</v>
      </c>
      <c r="AD288" s="4">
        <v>164738</v>
      </c>
      <c r="AE288" s="4">
        <v>329476</v>
      </c>
      <c r="AF288" s="4">
        <v>494214</v>
      </c>
      <c r="AG288" s="4">
        <v>658952</v>
      </c>
      <c r="AH288" s="4">
        <v>822543</v>
      </c>
      <c r="AI288" s="4">
        <v>986134</v>
      </c>
      <c r="AJ288" s="4">
        <v>1149725</v>
      </c>
      <c r="AK288" s="4">
        <v>1313316</v>
      </c>
      <c r="AL288" s="4">
        <v>1476907</v>
      </c>
      <c r="AM288" s="4">
        <v>1640497</v>
      </c>
      <c r="AN288" s="154">
        <v>119286</v>
      </c>
    </row>
    <row r="289" spans="1:40" x14ac:dyDescent="0.2">
      <c r="A289" s="1">
        <v>2019</v>
      </c>
      <c r="B289" s="2" t="s">
        <v>309</v>
      </c>
      <c r="C289" s="2" t="s">
        <v>309</v>
      </c>
      <c r="D289" s="1" t="s">
        <v>657</v>
      </c>
      <c r="E289" s="3">
        <v>2704795</v>
      </c>
      <c r="F289" s="1">
        <v>365</v>
      </c>
      <c r="G289" s="3">
        <v>10541</v>
      </c>
      <c r="H289" s="1">
        <v>0</v>
      </c>
      <c r="I289" s="3">
        <v>2704430</v>
      </c>
      <c r="J289" s="3">
        <v>2693889</v>
      </c>
      <c r="K289" s="3">
        <v>2693889</v>
      </c>
      <c r="L289" s="3">
        <v>73731</v>
      </c>
      <c r="M289" s="3">
        <v>273982</v>
      </c>
      <c r="N289" s="3">
        <v>29082</v>
      </c>
      <c r="O289" s="3">
        <v>28226</v>
      </c>
      <c r="P289" s="3">
        <v>141269</v>
      </c>
      <c r="Q289" s="3">
        <v>2158140</v>
      </c>
      <c r="R289" s="3">
        <v>2147599</v>
      </c>
      <c r="S289" s="3">
        <v>2147599</v>
      </c>
      <c r="T289" s="3">
        <v>270443</v>
      </c>
      <c r="U289" s="3">
        <v>270443</v>
      </c>
      <c r="V289" s="3">
        <v>270443</v>
      </c>
      <c r="W289" s="3">
        <v>270443</v>
      </c>
      <c r="X289" s="3">
        <v>268686</v>
      </c>
      <c r="Y289" s="3">
        <v>268686</v>
      </c>
      <c r="Z289" s="4">
        <v>268686</v>
      </c>
      <c r="AA289" s="4">
        <v>268686</v>
      </c>
      <c r="AB289" s="4">
        <v>268686</v>
      </c>
      <c r="AC289" s="4">
        <v>268687</v>
      </c>
      <c r="AD289" s="4">
        <v>270443</v>
      </c>
      <c r="AE289" s="4">
        <v>540886</v>
      </c>
      <c r="AF289" s="4">
        <v>811329</v>
      </c>
      <c r="AG289" s="4">
        <v>1081772</v>
      </c>
      <c r="AH289" s="4">
        <v>1350458</v>
      </c>
      <c r="AI289" s="4">
        <v>1619144</v>
      </c>
      <c r="AJ289" s="4">
        <v>1887830</v>
      </c>
      <c r="AK289" s="4">
        <v>2156516</v>
      </c>
      <c r="AL289" s="4">
        <v>2425202</v>
      </c>
      <c r="AM289" s="4">
        <v>2693889</v>
      </c>
      <c r="AN289" s="154">
        <v>200518</v>
      </c>
    </row>
    <row r="290" spans="1:40" x14ac:dyDescent="0.2">
      <c r="A290" s="1">
        <v>2019</v>
      </c>
      <c r="B290" s="2" t="s">
        <v>310</v>
      </c>
      <c r="C290" s="2" t="s">
        <v>310</v>
      </c>
      <c r="D290" s="1" t="s">
        <v>658</v>
      </c>
      <c r="E290" s="3">
        <v>1888445</v>
      </c>
      <c r="F290" s="1">
        <v>365</v>
      </c>
      <c r="G290" s="3">
        <v>9010</v>
      </c>
      <c r="H290" s="1">
        <v>0</v>
      </c>
      <c r="I290" s="3">
        <v>1888080</v>
      </c>
      <c r="J290" s="3">
        <v>1879070</v>
      </c>
      <c r="K290" s="3">
        <v>1879070</v>
      </c>
      <c r="L290" s="3">
        <v>73731</v>
      </c>
      <c r="M290" s="3">
        <v>226134</v>
      </c>
      <c r="N290" s="3">
        <v>18612</v>
      </c>
      <c r="O290" s="3">
        <v>25920</v>
      </c>
      <c r="P290" s="3">
        <v>117769</v>
      </c>
      <c r="Q290" s="3">
        <v>1425914</v>
      </c>
      <c r="R290" s="3">
        <v>1416904</v>
      </c>
      <c r="S290" s="3">
        <v>1416904</v>
      </c>
      <c r="T290" s="3">
        <v>188808</v>
      </c>
      <c r="U290" s="3">
        <v>188808</v>
      </c>
      <c r="V290" s="3">
        <v>188808</v>
      </c>
      <c r="W290" s="3">
        <v>188808</v>
      </c>
      <c r="X290" s="3">
        <v>187306</v>
      </c>
      <c r="Y290" s="3">
        <v>187306</v>
      </c>
      <c r="Z290" s="4">
        <v>187307</v>
      </c>
      <c r="AA290" s="4">
        <v>187307</v>
      </c>
      <c r="AB290" s="4">
        <v>187307</v>
      </c>
      <c r="AC290" s="4">
        <v>187305</v>
      </c>
      <c r="AD290" s="4">
        <v>188808</v>
      </c>
      <c r="AE290" s="4">
        <v>377616</v>
      </c>
      <c r="AF290" s="4">
        <v>566424</v>
      </c>
      <c r="AG290" s="4">
        <v>755232</v>
      </c>
      <c r="AH290" s="4">
        <v>942538</v>
      </c>
      <c r="AI290" s="4">
        <v>1129844</v>
      </c>
      <c r="AJ290" s="4">
        <v>1317151</v>
      </c>
      <c r="AK290" s="4">
        <v>1504458</v>
      </c>
      <c r="AL290" s="4">
        <v>1691765</v>
      </c>
      <c r="AM290" s="4">
        <v>1879070</v>
      </c>
      <c r="AN290" s="154">
        <v>180224</v>
      </c>
    </row>
    <row r="291" spans="1:40" x14ac:dyDescent="0.2">
      <c r="A291" s="1">
        <v>2019</v>
      </c>
      <c r="B291" s="2" t="s">
        <v>311</v>
      </c>
      <c r="C291" s="2" t="s">
        <v>311</v>
      </c>
      <c r="D291" s="1" t="s">
        <v>659</v>
      </c>
      <c r="E291" s="3">
        <v>2204311</v>
      </c>
      <c r="F291" s="1">
        <v>249</v>
      </c>
      <c r="G291" s="3">
        <v>8480</v>
      </c>
      <c r="H291" s="3">
        <v>0</v>
      </c>
      <c r="I291" s="3">
        <v>2204062</v>
      </c>
      <c r="J291" s="3">
        <v>2195582</v>
      </c>
      <c r="K291" s="3">
        <v>2195582</v>
      </c>
      <c r="L291" s="3">
        <v>50271</v>
      </c>
      <c r="M291" s="3">
        <v>219552</v>
      </c>
      <c r="N291" s="3">
        <v>26737</v>
      </c>
      <c r="O291" s="3">
        <v>22893</v>
      </c>
      <c r="P291" s="3">
        <v>112660</v>
      </c>
      <c r="Q291" s="3">
        <v>1771949</v>
      </c>
      <c r="R291" s="3">
        <v>1763469</v>
      </c>
      <c r="S291" s="3">
        <v>1763469</v>
      </c>
      <c r="T291" s="3">
        <v>220406</v>
      </c>
      <c r="U291" s="3">
        <v>220406</v>
      </c>
      <c r="V291" s="3">
        <v>220406</v>
      </c>
      <c r="W291" s="3">
        <v>220406</v>
      </c>
      <c r="X291" s="3">
        <v>218993</v>
      </c>
      <c r="Y291" s="3">
        <v>218993</v>
      </c>
      <c r="Z291" s="4">
        <v>218993</v>
      </c>
      <c r="AA291" s="4">
        <v>218993</v>
      </c>
      <c r="AB291" s="4">
        <v>218993</v>
      </c>
      <c r="AC291" s="4">
        <v>218993</v>
      </c>
      <c r="AD291" s="4">
        <v>220406</v>
      </c>
      <c r="AE291" s="4">
        <v>440812</v>
      </c>
      <c r="AF291" s="4">
        <v>661218</v>
      </c>
      <c r="AG291" s="4">
        <v>881624</v>
      </c>
      <c r="AH291" s="4">
        <v>1100617</v>
      </c>
      <c r="AI291" s="4">
        <v>1319610</v>
      </c>
      <c r="AJ291" s="4">
        <v>1538603</v>
      </c>
      <c r="AK291" s="4">
        <v>1757596</v>
      </c>
      <c r="AL291" s="4">
        <v>1976589</v>
      </c>
      <c r="AM291" s="4">
        <v>2195582</v>
      </c>
      <c r="AN291" s="154">
        <v>148156</v>
      </c>
    </row>
    <row r="292" spans="1:40" x14ac:dyDescent="0.2">
      <c r="A292" s="1">
        <v>2019</v>
      </c>
      <c r="B292" s="2" t="s">
        <v>312</v>
      </c>
      <c r="C292" s="2" t="s">
        <v>312</v>
      </c>
      <c r="D292" s="1" t="s">
        <v>660</v>
      </c>
      <c r="E292" s="3">
        <v>560887</v>
      </c>
      <c r="F292" s="1">
        <v>100</v>
      </c>
      <c r="G292" s="3">
        <v>3572</v>
      </c>
      <c r="H292" s="1">
        <v>0</v>
      </c>
      <c r="I292" s="3">
        <v>560787</v>
      </c>
      <c r="J292" s="3">
        <v>557215</v>
      </c>
      <c r="K292" s="3">
        <v>557215</v>
      </c>
      <c r="L292" s="3">
        <v>20108</v>
      </c>
      <c r="M292" s="3">
        <v>105481</v>
      </c>
      <c r="N292" s="3">
        <v>10195</v>
      </c>
      <c r="O292" s="3">
        <v>10326</v>
      </c>
      <c r="P292" s="3">
        <v>52370</v>
      </c>
      <c r="Q292" s="3">
        <v>362307</v>
      </c>
      <c r="R292" s="3">
        <v>358735</v>
      </c>
      <c r="S292" s="3">
        <v>358735</v>
      </c>
      <c r="T292" s="3">
        <v>56079</v>
      </c>
      <c r="U292" s="3">
        <v>56079</v>
      </c>
      <c r="V292" s="3">
        <v>56079</v>
      </c>
      <c r="W292" s="3">
        <v>56079</v>
      </c>
      <c r="X292" s="3">
        <v>55483</v>
      </c>
      <c r="Y292" s="3">
        <v>55483</v>
      </c>
      <c r="Z292" s="4">
        <v>55483</v>
      </c>
      <c r="AA292" s="4">
        <v>55483</v>
      </c>
      <c r="AB292" s="4">
        <v>55483</v>
      </c>
      <c r="AC292" s="4">
        <v>55484</v>
      </c>
      <c r="AD292" s="4">
        <v>56079</v>
      </c>
      <c r="AE292" s="4">
        <v>112158</v>
      </c>
      <c r="AF292" s="4">
        <v>168237</v>
      </c>
      <c r="AG292" s="4">
        <v>224316</v>
      </c>
      <c r="AH292" s="4">
        <v>279799</v>
      </c>
      <c r="AI292" s="4">
        <v>335282</v>
      </c>
      <c r="AJ292" s="4">
        <v>390765</v>
      </c>
      <c r="AK292" s="4">
        <v>446248</v>
      </c>
      <c r="AL292" s="4">
        <v>501731</v>
      </c>
      <c r="AM292" s="4">
        <v>557215</v>
      </c>
      <c r="AN292" s="154">
        <v>71485</v>
      </c>
    </row>
    <row r="293" spans="1:40" x14ac:dyDescent="0.2">
      <c r="A293" s="1">
        <v>2019</v>
      </c>
      <c r="B293" s="2" t="s">
        <v>313</v>
      </c>
      <c r="C293" s="2" t="s">
        <v>313</v>
      </c>
      <c r="D293" s="1" t="s">
        <v>661</v>
      </c>
      <c r="E293" s="3">
        <v>3934079</v>
      </c>
      <c r="F293" s="3">
        <v>663</v>
      </c>
      <c r="G293" s="3">
        <v>17510</v>
      </c>
      <c r="H293" s="1">
        <v>0</v>
      </c>
      <c r="I293" s="3">
        <v>3933416</v>
      </c>
      <c r="J293" s="3">
        <v>3915906</v>
      </c>
      <c r="K293" s="3">
        <v>3915906</v>
      </c>
      <c r="L293" s="3">
        <v>134057</v>
      </c>
      <c r="M293" s="3">
        <v>387317</v>
      </c>
      <c r="N293" s="3">
        <v>44072</v>
      </c>
      <c r="O293" s="3">
        <v>39915</v>
      </c>
      <c r="P293" s="3">
        <v>228877</v>
      </c>
      <c r="Q293" s="3">
        <v>3099178</v>
      </c>
      <c r="R293" s="3">
        <v>3081668</v>
      </c>
      <c r="S293" s="3">
        <v>3081668</v>
      </c>
      <c r="T293" s="3">
        <v>393342</v>
      </c>
      <c r="U293" s="3">
        <v>393342</v>
      </c>
      <c r="V293" s="3">
        <v>393342</v>
      </c>
      <c r="W293" s="3">
        <v>393342</v>
      </c>
      <c r="X293" s="3">
        <v>390423</v>
      </c>
      <c r="Y293" s="3">
        <v>390423</v>
      </c>
      <c r="Z293" s="4">
        <v>390423</v>
      </c>
      <c r="AA293" s="4">
        <v>390423</v>
      </c>
      <c r="AB293" s="4">
        <v>390423</v>
      </c>
      <c r="AC293" s="4">
        <v>390423</v>
      </c>
      <c r="AD293" s="4">
        <v>393342</v>
      </c>
      <c r="AE293" s="4">
        <v>786684</v>
      </c>
      <c r="AF293" s="4">
        <v>1180026</v>
      </c>
      <c r="AG293" s="4">
        <v>1573368</v>
      </c>
      <c r="AH293" s="4">
        <v>1963791</v>
      </c>
      <c r="AI293" s="4">
        <v>2354214</v>
      </c>
      <c r="AJ293" s="4">
        <v>2744637</v>
      </c>
      <c r="AK293" s="4">
        <v>3135060</v>
      </c>
      <c r="AL293" s="4">
        <v>3525483</v>
      </c>
      <c r="AM293" s="4">
        <v>3915906</v>
      </c>
      <c r="AN293" s="154">
        <v>308114</v>
      </c>
    </row>
    <row r="294" spans="1:40" x14ac:dyDescent="0.2">
      <c r="A294" s="1">
        <v>2019</v>
      </c>
      <c r="B294" s="2" t="s">
        <v>314</v>
      </c>
      <c r="C294" s="2" t="s">
        <v>314</v>
      </c>
      <c r="D294" s="1" t="s">
        <v>662</v>
      </c>
      <c r="E294" s="3">
        <v>1504485</v>
      </c>
      <c r="F294" s="1">
        <v>862</v>
      </c>
      <c r="G294" s="3">
        <v>9320</v>
      </c>
      <c r="H294" s="1">
        <v>0</v>
      </c>
      <c r="I294" s="3">
        <v>1503623</v>
      </c>
      <c r="J294" s="3">
        <v>1494303</v>
      </c>
      <c r="K294" s="3">
        <v>1494303</v>
      </c>
      <c r="L294" s="3">
        <v>174274</v>
      </c>
      <c r="M294" s="3">
        <v>187777</v>
      </c>
      <c r="N294" s="3">
        <v>25397</v>
      </c>
      <c r="O294" s="3">
        <v>16107</v>
      </c>
      <c r="P294" s="3">
        <v>121817</v>
      </c>
      <c r="Q294" s="3">
        <v>978251</v>
      </c>
      <c r="R294" s="3">
        <v>968931</v>
      </c>
      <c r="S294" s="3">
        <v>968931</v>
      </c>
      <c r="T294" s="3">
        <v>150362</v>
      </c>
      <c r="U294" s="3">
        <v>150362</v>
      </c>
      <c r="V294" s="3">
        <v>150362</v>
      </c>
      <c r="W294" s="3">
        <v>150362</v>
      </c>
      <c r="X294" s="3">
        <v>148809</v>
      </c>
      <c r="Y294" s="3">
        <v>148809</v>
      </c>
      <c r="Z294" s="4">
        <v>148809</v>
      </c>
      <c r="AA294" s="4">
        <v>148809</v>
      </c>
      <c r="AB294" s="4">
        <v>148809</v>
      </c>
      <c r="AC294" s="4">
        <v>148810</v>
      </c>
      <c r="AD294" s="4">
        <v>150362</v>
      </c>
      <c r="AE294" s="4">
        <v>300724</v>
      </c>
      <c r="AF294" s="4">
        <v>451086</v>
      </c>
      <c r="AG294" s="4">
        <v>601448</v>
      </c>
      <c r="AH294" s="4">
        <v>750257</v>
      </c>
      <c r="AI294" s="4">
        <v>899066</v>
      </c>
      <c r="AJ294" s="4">
        <v>1047875</v>
      </c>
      <c r="AK294" s="4">
        <v>1196684</v>
      </c>
      <c r="AL294" s="4">
        <v>1345493</v>
      </c>
      <c r="AM294" s="4">
        <v>1494303</v>
      </c>
      <c r="AN294" s="154">
        <v>157132</v>
      </c>
    </row>
    <row r="295" spans="1:40" x14ac:dyDescent="0.2">
      <c r="A295" s="1">
        <v>2019</v>
      </c>
      <c r="B295" s="2" t="s">
        <v>315</v>
      </c>
      <c r="C295" s="2" t="s">
        <v>315</v>
      </c>
      <c r="D295" s="1" t="s">
        <v>663</v>
      </c>
      <c r="E295" s="3">
        <v>19554018</v>
      </c>
      <c r="F295" s="3">
        <v>3284</v>
      </c>
      <c r="G295" s="3">
        <v>85085</v>
      </c>
      <c r="H295" s="1">
        <v>0</v>
      </c>
      <c r="I295" s="3">
        <v>19550734</v>
      </c>
      <c r="J295" s="3">
        <v>19465649</v>
      </c>
      <c r="K295" s="3">
        <v>19465649</v>
      </c>
      <c r="L295" s="3">
        <v>663580</v>
      </c>
      <c r="M295" s="3">
        <v>2002325</v>
      </c>
      <c r="N295" s="3">
        <v>227098</v>
      </c>
      <c r="O295" s="3">
        <v>236159</v>
      </c>
      <c r="P295" s="3">
        <v>1112157</v>
      </c>
      <c r="Q295" s="3">
        <v>15309415</v>
      </c>
      <c r="R295" s="3">
        <v>15224330</v>
      </c>
      <c r="S295" s="3">
        <v>15224330</v>
      </c>
      <c r="T295" s="3">
        <v>1955073</v>
      </c>
      <c r="U295" s="3">
        <v>1955073</v>
      </c>
      <c r="V295" s="3">
        <v>1955073</v>
      </c>
      <c r="W295" s="3">
        <v>1955073</v>
      </c>
      <c r="X295" s="3">
        <v>1940893</v>
      </c>
      <c r="Y295" s="3">
        <v>1940893</v>
      </c>
      <c r="Z295" s="4">
        <v>1940893</v>
      </c>
      <c r="AA295" s="4">
        <v>1940893</v>
      </c>
      <c r="AB295" s="4">
        <v>1940893</v>
      </c>
      <c r="AC295" s="4">
        <v>1940892</v>
      </c>
      <c r="AD295" s="4">
        <v>1955073</v>
      </c>
      <c r="AE295" s="4">
        <v>3910146</v>
      </c>
      <c r="AF295" s="4">
        <v>5865219</v>
      </c>
      <c r="AG295" s="4">
        <v>7820292</v>
      </c>
      <c r="AH295" s="4">
        <v>9761185</v>
      </c>
      <c r="AI295" s="4">
        <v>11702078</v>
      </c>
      <c r="AJ295" s="4">
        <v>13642971</v>
      </c>
      <c r="AK295" s="4">
        <v>15583864</v>
      </c>
      <c r="AL295" s="4">
        <v>17524757</v>
      </c>
      <c r="AM295" s="4">
        <v>19465649</v>
      </c>
      <c r="AN295" s="154">
        <v>1482530</v>
      </c>
    </row>
    <row r="296" spans="1:40" x14ac:dyDescent="0.2">
      <c r="A296" s="1">
        <v>2019</v>
      </c>
      <c r="B296" s="2" t="s">
        <v>317</v>
      </c>
      <c r="C296" s="2" t="s">
        <v>317</v>
      </c>
      <c r="D296" s="1" t="s">
        <v>664</v>
      </c>
      <c r="E296" s="3">
        <v>4033738</v>
      </c>
      <c r="F296" s="1">
        <v>713</v>
      </c>
      <c r="G296" s="3">
        <v>15924</v>
      </c>
      <c r="H296" s="1">
        <v>0</v>
      </c>
      <c r="I296" s="3">
        <v>4033025</v>
      </c>
      <c r="J296" s="3">
        <v>4017101</v>
      </c>
      <c r="K296" s="3">
        <v>4017101</v>
      </c>
      <c r="L296" s="3">
        <v>144111</v>
      </c>
      <c r="M296" s="3">
        <v>372810</v>
      </c>
      <c r="N296" s="3">
        <v>44689</v>
      </c>
      <c r="O296" s="3">
        <v>37122</v>
      </c>
      <c r="P296" s="3">
        <v>208144</v>
      </c>
      <c r="Q296" s="3">
        <v>3226149</v>
      </c>
      <c r="R296" s="3">
        <v>3210225</v>
      </c>
      <c r="S296" s="3">
        <v>3210225</v>
      </c>
      <c r="T296" s="3">
        <v>403303</v>
      </c>
      <c r="U296" s="3">
        <v>403303</v>
      </c>
      <c r="V296" s="3">
        <v>403303</v>
      </c>
      <c r="W296" s="3">
        <v>403303</v>
      </c>
      <c r="X296" s="3">
        <v>400648</v>
      </c>
      <c r="Y296" s="3">
        <v>400648</v>
      </c>
      <c r="Z296" s="4">
        <v>400648</v>
      </c>
      <c r="AA296" s="4">
        <v>400648</v>
      </c>
      <c r="AB296" s="4">
        <v>400648</v>
      </c>
      <c r="AC296" s="4">
        <v>400649</v>
      </c>
      <c r="AD296" s="4">
        <v>403303</v>
      </c>
      <c r="AE296" s="4">
        <v>806606</v>
      </c>
      <c r="AF296" s="4">
        <v>1209909</v>
      </c>
      <c r="AG296" s="4">
        <v>1613212</v>
      </c>
      <c r="AH296" s="4">
        <v>2013860</v>
      </c>
      <c r="AI296" s="4">
        <v>2414508</v>
      </c>
      <c r="AJ296" s="4">
        <v>2815156</v>
      </c>
      <c r="AK296" s="4">
        <v>3215804</v>
      </c>
      <c r="AL296" s="4">
        <v>3616452</v>
      </c>
      <c r="AM296" s="4">
        <v>4017101</v>
      </c>
      <c r="AN296" s="154">
        <v>275313</v>
      </c>
    </row>
    <row r="297" spans="1:40" x14ac:dyDescent="0.2">
      <c r="A297" s="1">
        <v>2019</v>
      </c>
      <c r="B297" s="2" t="s">
        <v>318</v>
      </c>
      <c r="C297" s="2" t="s">
        <v>318</v>
      </c>
      <c r="D297" s="1" t="s">
        <v>665</v>
      </c>
      <c r="E297" s="3">
        <v>3863913</v>
      </c>
      <c r="F297" s="3">
        <v>0</v>
      </c>
      <c r="G297" s="3">
        <v>17293</v>
      </c>
      <c r="H297" s="1">
        <v>0</v>
      </c>
      <c r="I297" s="3">
        <v>3863913</v>
      </c>
      <c r="J297" s="3">
        <v>3846620</v>
      </c>
      <c r="K297" s="3">
        <v>3846620</v>
      </c>
      <c r="L297" s="3">
        <v>0</v>
      </c>
      <c r="M297" s="3">
        <v>414072</v>
      </c>
      <c r="N297" s="3">
        <v>44923</v>
      </c>
      <c r="O297" s="3">
        <v>42729</v>
      </c>
      <c r="P297" s="3">
        <v>226036</v>
      </c>
      <c r="Q297" s="3">
        <v>3136153</v>
      </c>
      <c r="R297" s="3">
        <v>3118860</v>
      </c>
      <c r="S297" s="3">
        <v>3118860</v>
      </c>
      <c r="T297" s="3">
        <v>386391</v>
      </c>
      <c r="U297" s="3">
        <v>386391</v>
      </c>
      <c r="V297" s="3">
        <v>386391</v>
      </c>
      <c r="W297" s="3">
        <v>386391</v>
      </c>
      <c r="X297" s="3">
        <v>383509</v>
      </c>
      <c r="Y297" s="3">
        <v>383509</v>
      </c>
      <c r="Z297" s="4">
        <v>383510</v>
      </c>
      <c r="AA297" s="4">
        <v>383510</v>
      </c>
      <c r="AB297" s="4">
        <v>383510</v>
      </c>
      <c r="AC297" s="4">
        <v>383508</v>
      </c>
      <c r="AD297" s="4">
        <v>386391</v>
      </c>
      <c r="AE297" s="4">
        <v>772782</v>
      </c>
      <c r="AF297" s="4">
        <v>1159173</v>
      </c>
      <c r="AG297" s="4">
        <v>1545564</v>
      </c>
      <c r="AH297" s="4">
        <v>1929073</v>
      </c>
      <c r="AI297" s="4">
        <v>2312582</v>
      </c>
      <c r="AJ297" s="4">
        <v>2696092</v>
      </c>
      <c r="AK297" s="4">
        <v>3079602</v>
      </c>
      <c r="AL297" s="4">
        <v>3463112</v>
      </c>
      <c r="AM297" s="4">
        <v>3846620</v>
      </c>
      <c r="AN297" s="154">
        <v>293825</v>
      </c>
    </row>
    <row r="298" spans="1:40" x14ac:dyDescent="0.2">
      <c r="A298" s="1">
        <v>2019</v>
      </c>
      <c r="B298" s="2" t="s">
        <v>319</v>
      </c>
      <c r="C298" s="2" t="s">
        <v>319</v>
      </c>
      <c r="D298" s="1" t="s">
        <v>666</v>
      </c>
      <c r="E298" s="3">
        <v>1630331</v>
      </c>
      <c r="F298" s="1">
        <v>199</v>
      </c>
      <c r="G298" s="3">
        <v>7444</v>
      </c>
      <c r="H298" s="1">
        <v>0</v>
      </c>
      <c r="I298" s="3">
        <v>1630132</v>
      </c>
      <c r="J298" s="3">
        <v>1622688</v>
      </c>
      <c r="K298" s="3">
        <v>1622688</v>
      </c>
      <c r="L298" s="3">
        <v>40217</v>
      </c>
      <c r="M298" s="3">
        <v>178801</v>
      </c>
      <c r="N298" s="3">
        <v>21891</v>
      </c>
      <c r="O298" s="3">
        <v>19213</v>
      </c>
      <c r="P298" s="3">
        <v>98274</v>
      </c>
      <c r="Q298" s="3">
        <v>1271736</v>
      </c>
      <c r="R298" s="3">
        <v>1264292</v>
      </c>
      <c r="S298" s="3">
        <v>1264292</v>
      </c>
      <c r="T298" s="3">
        <v>163013</v>
      </c>
      <c r="U298" s="3">
        <v>163013</v>
      </c>
      <c r="V298" s="3">
        <v>163013</v>
      </c>
      <c r="W298" s="3">
        <v>163013</v>
      </c>
      <c r="X298" s="3">
        <v>161773</v>
      </c>
      <c r="Y298" s="3">
        <v>161773</v>
      </c>
      <c r="Z298" s="4">
        <v>161773</v>
      </c>
      <c r="AA298" s="4">
        <v>161773</v>
      </c>
      <c r="AB298" s="4">
        <v>161773</v>
      </c>
      <c r="AC298" s="4">
        <v>161771</v>
      </c>
      <c r="AD298" s="4">
        <v>163013</v>
      </c>
      <c r="AE298" s="4">
        <v>326026</v>
      </c>
      <c r="AF298" s="4">
        <v>489039</v>
      </c>
      <c r="AG298" s="4">
        <v>652052</v>
      </c>
      <c r="AH298" s="4">
        <v>813825</v>
      </c>
      <c r="AI298" s="4">
        <v>975598</v>
      </c>
      <c r="AJ298" s="4">
        <v>1137371</v>
      </c>
      <c r="AK298" s="4">
        <v>1299144</v>
      </c>
      <c r="AL298" s="4">
        <v>1460917</v>
      </c>
      <c r="AM298" s="4">
        <v>1622688</v>
      </c>
      <c r="AN298" s="154">
        <v>138104</v>
      </c>
    </row>
    <row r="299" spans="1:40" x14ac:dyDescent="0.2">
      <c r="A299" s="1">
        <v>2019</v>
      </c>
      <c r="B299" s="2" t="s">
        <v>320</v>
      </c>
      <c r="C299" s="2" t="s">
        <v>320</v>
      </c>
      <c r="D299" s="1" t="s">
        <v>667</v>
      </c>
      <c r="E299" s="3">
        <v>9444090</v>
      </c>
      <c r="F299" s="1">
        <v>962</v>
      </c>
      <c r="G299" s="3">
        <v>38567</v>
      </c>
      <c r="H299" s="1">
        <v>0</v>
      </c>
      <c r="I299" s="3">
        <v>9443128</v>
      </c>
      <c r="J299" s="3">
        <v>9404561</v>
      </c>
      <c r="K299" s="3">
        <v>9404561</v>
      </c>
      <c r="L299" s="3">
        <v>194382</v>
      </c>
      <c r="M299" s="3">
        <v>929148</v>
      </c>
      <c r="N299" s="3">
        <v>100978</v>
      </c>
      <c r="O299" s="3">
        <v>104529</v>
      </c>
      <c r="P299" s="3">
        <v>504116</v>
      </c>
      <c r="Q299" s="3">
        <v>7609975</v>
      </c>
      <c r="R299" s="3">
        <v>7571408</v>
      </c>
      <c r="S299" s="3">
        <v>7571408</v>
      </c>
      <c r="T299" s="3">
        <v>944313</v>
      </c>
      <c r="U299" s="3">
        <v>944313</v>
      </c>
      <c r="V299" s="3">
        <v>944313</v>
      </c>
      <c r="W299" s="3">
        <v>944313</v>
      </c>
      <c r="X299" s="3">
        <v>937885</v>
      </c>
      <c r="Y299" s="3">
        <v>937885</v>
      </c>
      <c r="Z299" s="4">
        <v>937885</v>
      </c>
      <c r="AA299" s="4">
        <v>937885</v>
      </c>
      <c r="AB299" s="4">
        <v>937885</v>
      </c>
      <c r="AC299" s="4">
        <v>937884</v>
      </c>
      <c r="AD299" s="4">
        <v>944313</v>
      </c>
      <c r="AE299" s="4">
        <v>1888626</v>
      </c>
      <c r="AF299" s="4">
        <v>2832939</v>
      </c>
      <c r="AG299" s="4">
        <v>3777252</v>
      </c>
      <c r="AH299" s="4">
        <v>4715137</v>
      </c>
      <c r="AI299" s="4">
        <v>5653022</v>
      </c>
      <c r="AJ299" s="4">
        <v>6590907</v>
      </c>
      <c r="AK299" s="4">
        <v>7528792</v>
      </c>
      <c r="AL299" s="4">
        <v>8466677</v>
      </c>
      <c r="AM299" s="4">
        <v>9404561</v>
      </c>
      <c r="AN299" s="154">
        <v>684021</v>
      </c>
    </row>
    <row r="300" spans="1:40" x14ac:dyDescent="0.2">
      <c r="A300" s="1">
        <v>2019</v>
      </c>
      <c r="B300" s="2" t="s">
        <v>321</v>
      </c>
      <c r="C300" s="2" t="s">
        <v>321</v>
      </c>
      <c r="D300" s="1" t="s">
        <v>668</v>
      </c>
      <c r="E300" s="3">
        <v>3136094</v>
      </c>
      <c r="F300" s="1">
        <v>647</v>
      </c>
      <c r="G300" s="3">
        <v>11987</v>
      </c>
      <c r="H300" s="1">
        <v>0</v>
      </c>
      <c r="I300" s="3">
        <v>3135447</v>
      </c>
      <c r="J300" s="3">
        <v>3123460</v>
      </c>
      <c r="K300" s="3">
        <v>3123460</v>
      </c>
      <c r="L300" s="3">
        <v>130705</v>
      </c>
      <c r="M300" s="3">
        <v>313332</v>
      </c>
      <c r="N300" s="3">
        <v>33718</v>
      </c>
      <c r="O300" s="3">
        <v>33521</v>
      </c>
      <c r="P300" s="3">
        <v>156687</v>
      </c>
      <c r="Q300" s="3">
        <v>2467484</v>
      </c>
      <c r="R300" s="3">
        <v>2455497</v>
      </c>
      <c r="S300" s="3">
        <v>2455497</v>
      </c>
      <c r="T300" s="3">
        <v>313545</v>
      </c>
      <c r="U300" s="3">
        <v>313545</v>
      </c>
      <c r="V300" s="3">
        <v>313545</v>
      </c>
      <c r="W300" s="3">
        <v>313545</v>
      </c>
      <c r="X300" s="3">
        <v>311547</v>
      </c>
      <c r="Y300" s="3">
        <v>311547</v>
      </c>
      <c r="Z300" s="4">
        <v>311547</v>
      </c>
      <c r="AA300" s="4">
        <v>311547</v>
      </c>
      <c r="AB300" s="4">
        <v>311547</v>
      </c>
      <c r="AC300" s="4">
        <v>311545</v>
      </c>
      <c r="AD300" s="4">
        <v>313545</v>
      </c>
      <c r="AE300" s="4">
        <v>627090</v>
      </c>
      <c r="AF300" s="4">
        <v>940635</v>
      </c>
      <c r="AG300" s="4">
        <v>1254180</v>
      </c>
      <c r="AH300" s="4">
        <v>1565727</v>
      </c>
      <c r="AI300" s="4">
        <v>1877274</v>
      </c>
      <c r="AJ300" s="4">
        <v>2188821</v>
      </c>
      <c r="AK300" s="4">
        <v>2500368</v>
      </c>
      <c r="AL300" s="4">
        <v>2811915</v>
      </c>
      <c r="AM300" s="4">
        <v>3123460</v>
      </c>
      <c r="AN300" s="154">
        <v>206414</v>
      </c>
    </row>
    <row r="301" spans="1:40" x14ac:dyDescent="0.2">
      <c r="A301" s="1">
        <v>2019</v>
      </c>
      <c r="B301" s="2" t="s">
        <v>322</v>
      </c>
      <c r="C301" s="2" t="s">
        <v>322</v>
      </c>
      <c r="D301" s="1" t="s">
        <v>669</v>
      </c>
      <c r="E301" s="3">
        <v>4535302</v>
      </c>
      <c r="F301" s="3">
        <v>945</v>
      </c>
      <c r="G301" s="3">
        <v>21130</v>
      </c>
      <c r="H301" s="3">
        <v>51097</v>
      </c>
      <c r="I301" s="3">
        <v>4534357</v>
      </c>
      <c r="J301" s="3">
        <v>4513227</v>
      </c>
      <c r="K301" s="3">
        <v>4462130</v>
      </c>
      <c r="L301" s="3">
        <v>191031</v>
      </c>
      <c r="M301" s="3">
        <v>533835</v>
      </c>
      <c r="N301" s="3">
        <v>61194</v>
      </c>
      <c r="O301" s="3">
        <v>56397</v>
      </c>
      <c r="P301" s="3">
        <v>281439</v>
      </c>
      <c r="Q301" s="3">
        <v>3410461</v>
      </c>
      <c r="R301" s="3">
        <v>3389331</v>
      </c>
      <c r="S301" s="3">
        <v>3338234</v>
      </c>
      <c r="T301" s="3">
        <v>453436</v>
      </c>
      <c r="U301" s="3">
        <v>453436</v>
      </c>
      <c r="V301" s="3">
        <v>453436</v>
      </c>
      <c r="W301" s="3">
        <v>453436</v>
      </c>
      <c r="X301" s="3">
        <v>449914</v>
      </c>
      <c r="Y301" s="3">
        <v>449914</v>
      </c>
      <c r="Z301" s="4">
        <v>437140</v>
      </c>
      <c r="AA301" s="4">
        <v>437140</v>
      </c>
      <c r="AB301" s="4">
        <v>437140</v>
      </c>
      <c r="AC301" s="4">
        <v>437138</v>
      </c>
      <c r="AD301" s="4">
        <v>453436</v>
      </c>
      <c r="AE301" s="4">
        <v>906872</v>
      </c>
      <c r="AF301" s="4">
        <v>1360308</v>
      </c>
      <c r="AG301" s="4">
        <v>1813744</v>
      </c>
      <c r="AH301" s="4">
        <v>2263658</v>
      </c>
      <c r="AI301" s="4">
        <v>2713572</v>
      </c>
      <c r="AJ301" s="4">
        <v>3150712</v>
      </c>
      <c r="AK301" s="4">
        <v>3587852</v>
      </c>
      <c r="AL301" s="4">
        <v>4024992</v>
      </c>
      <c r="AM301" s="4">
        <v>4462130</v>
      </c>
      <c r="AN301" s="154">
        <v>386246</v>
      </c>
    </row>
    <row r="302" spans="1:40" x14ac:dyDescent="0.2">
      <c r="A302" s="1">
        <v>2019</v>
      </c>
      <c r="B302" s="2" t="s">
        <v>323</v>
      </c>
      <c r="C302" s="2" t="s">
        <v>323</v>
      </c>
      <c r="D302" s="1" t="s">
        <v>670</v>
      </c>
      <c r="E302" s="3">
        <v>4030594</v>
      </c>
      <c r="F302" s="3">
        <v>580</v>
      </c>
      <c r="G302" s="3">
        <v>15442</v>
      </c>
      <c r="H302" s="1">
        <v>0</v>
      </c>
      <c r="I302" s="3">
        <v>4030014</v>
      </c>
      <c r="J302" s="3">
        <v>4014572</v>
      </c>
      <c r="K302" s="3">
        <v>4014572</v>
      </c>
      <c r="L302" s="3">
        <v>117300</v>
      </c>
      <c r="M302" s="3">
        <v>393511</v>
      </c>
      <c r="N302" s="3">
        <v>49051</v>
      </c>
      <c r="O302" s="3">
        <v>40704</v>
      </c>
      <c r="P302" s="3">
        <v>208832</v>
      </c>
      <c r="Q302" s="3">
        <v>3220616</v>
      </c>
      <c r="R302" s="3">
        <v>3205174</v>
      </c>
      <c r="S302" s="3">
        <v>3205174</v>
      </c>
      <c r="T302" s="3">
        <v>403001</v>
      </c>
      <c r="U302" s="3">
        <v>403001</v>
      </c>
      <c r="V302" s="3">
        <v>403001</v>
      </c>
      <c r="W302" s="3">
        <v>403001</v>
      </c>
      <c r="X302" s="3">
        <v>400428</v>
      </c>
      <c r="Y302" s="3">
        <v>400428</v>
      </c>
      <c r="Z302" s="4">
        <v>400428</v>
      </c>
      <c r="AA302" s="4">
        <v>400428</v>
      </c>
      <c r="AB302" s="4">
        <v>400428</v>
      </c>
      <c r="AC302" s="4">
        <v>400428</v>
      </c>
      <c r="AD302" s="4">
        <v>403001</v>
      </c>
      <c r="AE302" s="4">
        <v>806002</v>
      </c>
      <c r="AF302" s="4">
        <v>1209003</v>
      </c>
      <c r="AG302" s="4">
        <v>1612004</v>
      </c>
      <c r="AH302" s="4">
        <v>2012432</v>
      </c>
      <c r="AI302" s="4">
        <v>2412860</v>
      </c>
      <c r="AJ302" s="4">
        <v>2813288</v>
      </c>
      <c r="AK302" s="4">
        <v>3213716</v>
      </c>
      <c r="AL302" s="4">
        <v>3614144</v>
      </c>
      <c r="AM302" s="4">
        <v>4014572</v>
      </c>
      <c r="AN302" s="154">
        <v>289520</v>
      </c>
    </row>
    <row r="303" spans="1:40" x14ac:dyDescent="0.2">
      <c r="A303" s="1">
        <v>2019</v>
      </c>
      <c r="B303" s="2" t="s">
        <v>324</v>
      </c>
      <c r="C303" s="2" t="s">
        <v>324</v>
      </c>
      <c r="D303" s="1" t="s">
        <v>671</v>
      </c>
      <c r="E303" s="3">
        <v>4221732</v>
      </c>
      <c r="F303" s="1">
        <v>564</v>
      </c>
      <c r="G303" s="3">
        <v>16991</v>
      </c>
      <c r="H303" s="1">
        <v>0</v>
      </c>
      <c r="I303" s="3">
        <v>4221168</v>
      </c>
      <c r="J303" s="3">
        <v>4204177</v>
      </c>
      <c r="K303" s="3">
        <v>4204177</v>
      </c>
      <c r="L303" s="3">
        <v>113948</v>
      </c>
      <c r="M303" s="3">
        <v>428975</v>
      </c>
      <c r="N303" s="3">
        <v>46655</v>
      </c>
      <c r="O303" s="3">
        <v>44308</v>
      </c>
      <c r="P303" s="3">
        <v>222085</v>
      </c>
      <c r="Q303" s="3">
        <v>3365197</v>
      </c>
      <c r="R303" s="3">
        <v>3348206</v>
      </c>
      <c r="S303" s="3">
        <v>3348206</v>
      </c>
      <c r="T303" s="3">
        <v>422117</v>
      </c>
      <c r="U303" s="3">
        <v>422117</v>
      </c>
      <c r="V303" s="3">
        <v>422117</v>
      </c>
      <c r="W303" s="3">
        <v>422117</v>
      </c>
      <c r="X303" s="3">
        <v>419285</v>
      </c>
      <c r="Y303" s="3">
        <v>419285</v>
      </c>
      <c r="Z303" s="4">
        <v>419285</v>
      </c>
      <c r="AA303" s="4">
        <v>419285</v>
      </c>
      <c r="AB303" s="4">
        <v>419285</v>
      </c>
      <c r="AC303" s="4">
        <v>419284</v>
      </c>
      <c r="AD303" s="4">
        <v>422117</v>
      </c>
      <c r="AE303" s="4">
        <v>844234</v>
      </c>
      <c r="AF303" s="4">
        <v>1266351</v>
      </c>
      <c r="AG303" s="4">
        <v>1688468</v>
      </c>
      <c r="AH303" s="4">
        <v>2107753</v>
      </c>
      <c r="AI303" s="4">
        <v>2527038</v>
      </c>
      <c r="AJ303" s="4">
        <v>2946323</v>
      </c>
      <c r="AK303" s="4">
        <v>3365608</v>
      </c>
      <c r="AL303" s="4">
        <v>3784893</v>
      </c>
      <c r="AM303" s="4">
        <v>4204177</v>
      </c>
      <c r="AN303" s="154">
        <v>301938</v>
      </c>
    </row>
    <row r="304" spans="1:40" x14ac:dyDescent="0.2">
      <c r="A304" s="1">
        <v>2019</v>
      </c>
      <c r="B304" s="2" t="s">
        <v>325</v>
      </c>
      <c r="C304" s="2" t="s">
        <v>325</v>
      </c>
      <c r="D304" s="1" t="s">
        <v>672</v>
      </c>
      <c r="E304" s="3">
        <v>11954847</v>
      </c>
      <c r="F304" s="3">
        <v>1725</v>
      </c>
      <c r="G304" s="3">
        <v>44415</v>
      </c>
      <c r="H304" s="3">
        <v>0</v>
      </c>
      <c r="I304" s="3">
        <v>11953122</v>
      </c>
      <c r="J304" s="3">
        <v>11908707</v>
      </c>
      <c r="K304" s="3">
        <v>11908707</v>
      </c>
      <c r="L304" s="3">
        <v>348547</v>
      </c>
      <c r="M304" s="3">
        <v>1035388</v>
      </c>
      <c r="N304" s="3">
        <v>127436</v>
      </c>
      <c r="O304" s="3">
        <v>114705</v>
      </c>
      <c r="P304" s="3">
        <v>580550</v>
      </c>
      <c r="Q304" s="3">
        <v>9746496</v>
      </c>
      <c r="R304" s="3">
        <v>9702081</v>
      </c>
      <c r="S304" s="3">
        <v>9702081</v>
      </c>
      <c r="T304" s="3">
        <v>1195312</v>
      </c>
      <c r="U304" s="3">
        <v>1195312</v>
      </c>
      <c r="V304" s="3">
        <v>1195312</v>
      </c>
      <c r="W304" s="3">
        <v>1195312</v>
      </c>
      <c r="X304" s="3">
        <v>1187910</v>
      </c>
      <c r="Y304" s="3">
        <v>1187910</v>
      </c>
      <c r="Z304" s="4">
        <v>1187910</v>
      </c>
      <c r="AA304" s="4">
        <v>1187910</v>
      </c>
      <c r="AB304" s="4">
        <v>1187910</v>
      </c>
      <c r="AC304" s="4">
        <v>1187909</v>
      </c>
      <c r="AD304" s="4">
        <v>1195312</v>
      </c>
      <c r="AE304" s="4">
        <v>2390624</v>
      </c>
      <c r="AF304" s="4">
        <v>3585936</v>
      </c>
      <c r="AG304" s="4">
        <v>4781248</v>
      </c>
      <c r="AH304" s="4">
        <v>5969158</v>
      </c>
      <c r="AI304" s="4">
        <v>7157068</v>
      </c>
      <c r="AJ304" s="4">
        <v>8344978</v>
      </c>
      <c r="AK304" s="4">
        <v>9532888</v>
      </c>
      <c r="AL304" s="4">
        <v>10720798</v>
      </c>
      <c r="AM304" s="4">
        <v>11908707</v>
      </c>
      <c r="AN304" s="154">
        <v>792768</v>
      </c>
    </row>
    <row r="305" spans="1:40" x14ac:dyDescent="0.2">
      <c r="A305" s="1">
        <v>2019</v>
      </c>
      <c r="B305" s="2" t="s">
        <v>326</v>
      </c>
      <c r="C305" s="2" t="s">
        <v>326</v>
      </c>
      <c r="D305" s="1" t="s">
        <v>673</v>
      </c>
      <c r="E305" s="3">
        <v>78321047</v>
      </c>
      <c r="F305" s="3">
        <v>9570</v>
      </c>
      <c r="G305" s="3">
        <v>271740</v>
      </c>
      <c r="H305" s="1">
        <v>0</v>
      </c>
      <c r="I305" s="3">
        <v>78311477</v>
      </c>
      <c r="J305" s="3">
        <v>78039737</v>
      </c>
      <c r="K305" s="3">
        <v>78039737</v>
      </c>
      <c r="L305" s="3">
        <v>1933766</v>
      </c>
      <c r="M305" s="3">
        <v>6202548</v>
      </c>
      <c r="N305" s="3">
        <v>862906</v>
      </c>
      <c r="O305" s="3">
        <v>675573</v>
      </c>
      <c r="P305" s="3">
        <v>3551928</v>
      </c>
      <c r="Q305" s="3">
        <v>65084756</v>
      </c>
      <c r="R305" s="3">
        <v>64813016</v>
      </c>
      <c r="S305" s="3">
        <v>64813016</v>
      </c>
      <c r="T305" s="3">
        <v>7831148</v>
      </c>
      <c r="U305" s="3">
        <v>7831148</v>
      </c>
      <c r="V305" s="3">
        <v>7831148</v>
      </c>
      <c r="W305" s="3">
        <v>7831148</v>
      </c>
      <c r="X305" s="3">
        <v>7785858</v>
      </c>
      <c r="Y305" s="3">
        <v>7785858</v>
      </c>
      <c r="Z305" s="4">
        <v>7785857</v>
      </c>
      <c r="AA305" s="4">
        <v>7785857</v>
      </c>
      <c r="AB305" s="4">
        <v>7785857</v>
      </c>
      <c r="AC305" s="4">
        <v>7785858</v>
      </c>
      <c r="AD305" s="4">
        <v>7831148</v>
      </c>
      <c r="AE305" s="4">
        <v>15662296</v>
      </c>
      <c r="AF305" s="4">
        <v>23493444</v>
      </c>
      <c r="AG305" s="4">
        <v>31324592</v>
      </c>
      <c r="AH305" s="4">
        <v>39110450</v>
      </c>
      <c r="AI305" s="4">
        <v>46896308</v>
      </c>
      <c r="AJ305" s="4">
        <v>54682165</v>
      </c>
      <c r="AK305" s="4">
        <v>62468022</v>
      </c>
      <c r="AL305" s="4">
        <v>70253879</v>
      </c>
      <c r="AM305" s="4">
        <v>78039737</v>
      </c>
      <c r="AN305" s="154">
        <v>5363880</v>
      </c>
    </row>
    <row r="306" spans="1:40" x14ac:dyDescent="0.2">
      <c r="A306" s="1">
        <v>2019</v>
      </c>
      <c r="B306" s="2" t="s">
        <v>327</v>
      </c>
      <c r="C306" s="2" t="s">
        <v>327</v>
      </c>
      <c r="D306" s="1" t="s">
        <v>674</v>
      </c>
      <c r="E306" s="3">
        <v>56455089</v>
      </c>
      <c r="F306" s="3">
        <v>0</v>
      </c>
      <c r="G306" s="3">
        <v>264768</v>
      </c>
      <c r="H306" s="1">
        <v>0</v>
      </c>
      <c r="I306" s="3">
        <v>56455089</v>
      </c>
      <c r="J306" s="3">
        <v>56190321</v>
      </c>
      <c r="K306" s="3">
        <v>56190321</v>
      </c>
      <c r="L306" s="3">
        <v>0</v>
      </c>
      <c r="M306" s="3">
        <v>5424502</v>
      </c>
      <c r="N306" s="3">
        <v>718024</v>
      </c>
      <c r="O306" s="3">
        <v>560724</v>
      </c>
      <c r="P306" s="3">
        <v>3460802</v>
      </c>
      <c r="Q306" s="3">
        <v>46291037</v>
      </c>
      <c r="R306" s="3">
        <v>46026269</v>
      </c>
      <c r="S306" s="3">
        <v>46026269</v>
      </c>
      <c r="T306" s="3">
        <v>5645509</v>
      </c>
      <c r="U306" s="3">
        <v>5645509</v>
      </c>
      <c r="V306" s="3">
        <v>5645509</v>
      </c>
      <c r="W306" s="3">
        <v>5645509</v>
      </c>
      <c r="X306" s="3">
        <v>5601381</v>
      </c>
      <c r="Y306" s="3">
        <v>5601381</v>
      </c>
      <c r="Z306" s="4">
        <v>5601381</v>
      </c>
      <c r="AA306" s="4">
        <v>5601381</v>
      </c>
      <c r="AB306" s="4">
        <v>5601381</v>
      </c>
      <c r="AC306" s="4">
        <v>5601380</v>
      </c>
      <c r="AD306" s="4">
        <v>5645509</v>
      </c>
      <c r="AE306" s="4">
        <v>11291018</v>
      </c>
      <c r="AF306" s="4">
        <v>16936527</v>
      </c>
      <c r="AG306" s="4">
        <v>22582036</v>
      </c>
      <c r="AH306" s="4">
        <v>28183417</v>
      </c>
      <c r="AI306" s="4">
        <v>33784798</v>
      </c>
      <c r="AJ306" s="4">
        <v>39386179</v>
      </c>
      <c r="AK306" s="4">
        <v>44987560</v>
      </c>
      <c r="AL306" s="4">
        <v>50588941</v>
      </c>
      <c r="AM306" s="4">
        <v>56190321</v>
      </c>
      <c r="AN306" s="154">
        <v>4820141</v>
      </c>
    </row>
    <row r="307" spans="1:40" x14ac:dyDescent="0.2">
      <c r="A307" s="1">
        <v>2019</v>
      </c>
      <c r="B307" s="2" t="s">
        <v>328</v>
      </c>
      <c r="C307" s="2" t="s">
        <v>328</v>
      </c>
      <c r="D307" s="1" t="s">
        <v>675</v>
      </c>
      <c r="E307" s="3">
        <v>12367953</v>
      </c>
      <c r="F307" s="3">
        <v>1675</v>
      </c>
      <c r="G307" s="3">
        <v>51943</v>
      </c>
      <c r="H307" s="1">
        <v>0</v>
      </c>
      <c r="I307" s="3">
        <v>12366278</v>
      </c>
      <c r="J307" s="3">
        <v>12314335</v>
      </c>
      <c r="K307" s="3">
        <v>12314335</v>
      </c>
      <c r="L307" s="3">
        <v>338493</v>
      </c>
      <c r="M307" s="3">
        <v>1292430</v>
      </c>
      <c r="N307" s="3">
        <v>121796</v>
      </c>
      <c r="O307" s="3">
        <v>143506</v>
      </c>
      <c r="P307" s="3">
        <v>678957</v>
      </c>
      <c r="Q307" s="3">
        <v>9791096</v>
      </c>
      <c r="R307" s="3">
        <v>9739153</v>
      </c>
      <c r="S307" s="3">
        <v>9739153</v>
      </c>
      <c r="T307" s="3">
        <v>1236628</v>
      </c>
      <c r="U307" s="3">
        <v>1236628</v>
      </c>
      <c r="V307" s="3">
        <v>1236628</v>
      </c>
      <c r="W307" s="3">
        <v>1236628</v>
      </c>
      <c r="X307" s="3">
        <v>1227971</v>
      </c>
      <c r="Y307" s="3">
        <v>1227971</v>
      </c>
      <c r="Z307" s="4">
        <v>1227970</v>
      </c>
      <c r="AA307" s="4">
        <v>1227970</v>
      </c>
      <c r="AB307" s="4">
        <v>1227970</v>
      </c>
      <c r="AC307" s="4">
        <v>1227971</v>
      </c>
      <c r="AD307" s="4">
        <v>1236628</v>
      </c>
      <c r="AE307" s="4">
        <v>2473256</v>
      </c>
      <c r="AF307" s="4">
        <v>3709884</v>
      </c>
      <c r="AG307" s="4">
        <v>4946512</v>
      </c>
      <c r="AH307" s="4">
        <v>6174483</v>
      </c>
      <c r="AI307" s="4">
        <v>7402454</v>
      </c>
      <c r="AJ307" s="4">
        <v>8630424</v>
      </c>
      <c r="AK307" s="4">
        <v>9858394</v>
      </c>
      <c r="AL307" s="4">
        <v>11086364</v>
      </c>
      <c r="AM307" s="4">
        <v>12314335</v>
      </c>
      <c r="AN307" s="154">
        <v>974675</v>
      </c>
    </row>
    <row r="308" spans="1:40" x14ac:dyDescent="0.2">
      <c r="A308" s="1">
        <v>2019</v>
      </c>
      <c r="B308" s="2" t="s">
        <v>329</v>
      </c>
      <c r="C308" s="2" t="s">
        <v>329</v>
      </c>
      <c r="D308" s="1" t="s">
        <v>676</v>
      </c>
      <c r="E308" s="3">
        <v>3348915</v>
      </c>
      <c r="F308" s="3">
        <v>813</v>
      </c>
      <c r="G308" s="3">
        <v>14378</v>
      </c>
      <c r="H308" s="1">
        <v>0</v>
      </c>
      <c r="I308" s="3">
        <v>3348102</v>
      </c>
      <c r="J308" s="3">
        <v>3333724</v>
      </c>
      <c r="K308" s="3">
        <v>3333724</v>
      </c>
      <c r="L308" s="3">
        <v>164219</v>
      </c>
      <c r="M308" s="3">
        <v>392922</v>
      </c>
      <c r="N308" s="3">
        <v>43947</v>
      </c>
      <c r="O308" s="3">
        <v>43769</v>
      </c>
      <c r="P308" s="3">
        <v>187933</v>
      </c>
      <c r="Q308" s="3">
        <v>2515312</v>
      </c>
      <c r="R308" s="3">
        <v>2500934</v>
      </c>
      <c r="S308" s="3">
        <v>2500934</v>
      </c>
      <c r="T308" s="3">
        <v>334810</v>
      </c>
      <c r="U308" s="3">
        <v>334810</v>
      </c>
      <c r="V308" s="3">
        <v>334810</v>
      </c>
      <c r="W308" s="3">
        <v>334810</v>
      </c>
      <c r="X308" s="3">
        <v>332414</v>
      </c>
      <c r="Y308" s="3">
        <v>332414</v>
      </c>
      <c r="Z308" s="4">
        <v>332414</v>
      </c>
      <c r="AA308" s="4">
        <v>332414</v>
      </c>
      <c r="AB308" s="4">
        <v>332414</v>
      </c>
      <c r="AC308" s="4">
        <v>332414</v>
      </c>
      <c r="AD308" s="4">
        <v>334810</v>
      </c>
      <c r="AE308" s="4">
        <v>669620</v>
      </c>
      <c r="AF308" s="4">
        <v>1004430</v>
      </c>
      <c r="AG308" s="4">
        <v>1339240</v>
      </c>
      <c r="AH308" s="4">
        <v>1671654</v>
      </c>
      <c r="AI308" s="4">
        <v>2004068</v>
      </c>
      <c r="AJ308" s="4">
        <v>2336482</v>
      </c>
      <c r="AK308" s="4">
        <v>2668896</v>
      </c>
      <c r="AL308" s="4">
        <v>3001310</v>
      </c>
      <c r="AM308" s="4">
        <v>3333724</v>
      </c>
      <c r="AN308" s="154">
        <v>239525</v>
      </c>
    </row>
    <row r="309" spans="1:40" x14ac:dyDescent="0.2">
      <c r="A309" s="1">
        <v>2019</v>
      </c>
      <c r="B309" s="2" t="s">
        <v>330</v>
      </c>
      <c r="C309" s="2" t="s">
        <v>330</v>
      </c>
      <c r="D309" s="1" t="s">
        <v>677</v>
      </c>
      <c r="E309" s="3">
        <v>10702738</v>
      </c>
      <c r="F309" s="3">
        <v>1609</v>
      </c>
      <c r="G309" s="3">
        <v>37641</v>
      </c>
      <c r="H309" s="1">
        <v>0</v>
      </c>
      <c r="I309" s="3">
        <v>10701129</v>
      </c>
      <c r="J309" s="3">
        <v>10663488</v>
      </c>
      <c r="K309" s="3">
        <v>10663488</v>
      </c>
      <c r="L309" s="3">
        <v>325087</v>
      </c>
      <c r="M309" s="3">
        <v>898310</v>
      </c>
      <c r="N309" s="3">
        <v>112582</v>
      </c>
      <c r="O309" s="3">
        <v>99430</v>
      </c>
      <c r="P309" s="3">
        <v>499032</v>
      </c>
      <c r="Q309" s="3">
        <v>8766688</v>
      </c>
      <c r="R309" s="3">
        <v>8729047</v>
      </c>
      <c r="S309" s="3">
        <v>8729047</v>
      </c>
      <c r="T309" s="3">
        <v>1070113</v>
      </c>
      <c r="U309" s="3">
        <v>1070113</v>
      </c>
      <c r="V309" s="3">
        <v>1070113</v>
      </c>
      <c r="W309" s="3">
        <v>1070113</v>
      </c>
      <c r="X309" s="3">
        <v>1063839</v>
      </c>
      <c r="Y309" s="3">
        <v>1063839</v>
      </c>
      <c r="Z309" s="4">
        <v>1063840</v>
      </c>
      <c r="AA309" s="4">
        <v>1063840</v>
      </c>
      <c r="AB309" s="4">
        <v>1063840</v>
      </c>
      <c r="AC309" s="4">
        <v>1063838</v>
      </c>
      <c r="AD309" s="4">
        <v>1070113</v>
      </c>
      <c r="AE309" s="4">
        <v>2140226</v>
      </c>
      <c r="AF309" s="4">
        <v>3210339</v>
      </c>
      <c r="AG309" s="4">
        <v>4280452</v>
      </c>
      <c r="AH309" s="4">
        <v>5344291</v>
      </c>
      <c r="AI309" s="4">
        <v>6408130</v>
      </c>
      <c r="AJ309" s="4">
        <v>7471970</v>
      </c>
      <c r="AK309" s="4">
        <v>8535810</v>
      </c>
      <c r="AL309" s="4">
        <v>9599650</v>
      </c>
      <c r="AM309" s="4">
        <v>10663488</v>
      </c>
      <c r="AN309" s="154">
        <v>699758</v>
      </c>
    </row>
    <row r="310" spans="1:40" x14ac:dyDescent="0.2">
      <c r="A310" s="1">
        <v>2019</v>
      </c>
      <c r="B310" s="2" t="s">
        <v>331</v>
      </c>
      <c r="C310" s="2" t="s">
        <v>331</v>
      </c>
      <c r="D310" s="1" t="s">
        <v>678</v>
      </c>
      <c r="E310" s="3">
        <v>1287399</v>
      </c>
      <c r="F310" s="3">
        <v>249</v>
      </c>
      <c r="G310" s="3">
        <v>7149</v>
      </c>
      <c r="H310" s="3">
        <v>16339</v>
      </c>
      <c r="I310" s="3">
        <v>1287150</v>
      </c>
      <c r="J310" s="3">
        <v>1280001</v>
      </c>
      <c r="K310" s="3">
        <v>1263662</v>
      </c>
      <c r="L310" s="3">
        <v>50271</v>
      </c>
      <c r="M310" s="3">
        <v>207528</v>
      </c>
      <c r="N310" s="3">
        <v>19392</v>
      </c>
      <c r="O310" s="3">
        <v>22046</v>
      </c>
      <c r="P310" s="3">
        <v>102768</v>
      </c>
      <c r="Q310" s="3">
        <v>885145</v>
      </c>
      <c r="R310" s="3">
        <v>877996</v>
      </c>
      <c r="S310" s="3">
        <v>861657</v>
      </c>
      <c r="T310" s="3">
        <v>128715</v>
      </c>
      <c r="U310" s="3">
        <v>128715</v>
      </c>
      <c r="V310" s="3">
        <v>128715</v>
      </c>
      <c r="W310" s="3">
        <v>128715</v>
      </c>
      <c r="X310" s="3">
        <v>127524</v>
      </c>
      <c r="Y310" s="3">
        <v>127524</v>
      </c>
      <c r="Z310" s="4">
        <v>123439</v>
      </c>
      <c r="AA310" s="4">
        <v>123439</v>
      </c>
      <c r="AB310" s="4">
        <v>123439</v>
      </c>
      <c r="AC310" s="4">
        <v>123437</v>
      </c>
      <c r="AD310" s="4">
        <v>128715</v>
      </c>
      <c r="AE310" s="4">
        <v>257430</v>
      </c>
      <c r="AF310" s="4">
        <v>386145</v>
      </c>
      <c r="AG310" s="4">
        <v>514860</v>
      </c>
      <c r="AH310" s="4">
        <v>642384</v>
      </c>
      <c r="AI310" s="4">
        <v>769908</v>
      </c>
      <c r="AJ310" s="4">
        <v>893347</v>
      </c>
      <c r="AK310" s="4">
        <v>1016786</v>
      </c>
      <c r="AL310" s="4">
        <v>1140225</v>
      </c>
      <c r="AM310" s="4">
        <v>1263662</v>
      </c>
      <c r="AN310" s="154">
        <v>147477</v>
      </c>
    </row>
    <row r="311" spans="1:40" x14ac:dyDescent="0.2">
      <c r="A311" s="1">
        <v>2019</v>
      </c>
      <c r="B311" s="2" t="s">
        <v>332</v>
      </c>
      <c r="C311" s="2" t="s">
        <v>332</v>
      </c>
      <c r="D311" s="1" t="s">
        <v>679</v>
      </c>
      <c r="E311" s="3">
        <v>4017377</v>
      </c>
      <c r="F311" s="1">
        <v>746</v>
      </c>
      <c r="G311" s="3">
        <v>19341</v>
      </c>
      <c r="H311" s="1">
        <v>0</v>
      </c>
      <c r="I311" s="3">
        <v>4016631</v>
      </c>
      <c r="J311" s="3">
        <v>3997290</v>
      </c>
      <c r="K311" s="3">
        <v>3997290</v>
      </c>
      <c r="L311" s="3">
        <v>150814</v>
      </c>
      <c r="M311" s="3">
        <v>445362</v>
      </c>
      <c r="N311" s="3">
        <v>48231</v>
      </c>
      <c r="O311" s="3">
        <v>47240</v>
      </c>
      <c r="P311" s="3">
        <v>252809</v>
      </c>
      <c r="Q311" s="3">
        <v>3072175</v>
      </c>
      <c r="R311" s="3">
        <v>3052834</v>
      </c>
      <c r="S311" s="3">
        <v>3052834</v>
      </c>
      <c r="T311" s="3">
        <v>401663</v>
      </c>
      <c r="U311" s="3">
        <v>401663</v>
      </c>
      <c r="V311" s="3">
        <v>401663</v>
      </c>
      <c r="W311" s="3">
        <v>401663</v>
      </c>
      <c r="X311" s="3">
        <v>398440</v>
      </c>
      <c r="Y311" s="3">
        <v>398440</v>
      </c>
      <c r="Z311" s="4">
        <v>398440</v>
      </c>
      <c r="AA311" s="4">
        <v>398440</v>
      </c>
      <c r="AB311" s="4">
        <v>398440</v>
      </c>
      <c r="AC311" s="4">
        <v>398438</v>
      </c>
      <c r="AD311" s="4">
        <v>401663</v>
      </c>
      <c r="AE311" s="4">
        <v>803326</v>
      </c>
      <c r="AF311" s="4">
        <v>1204989</v>
      </c>
      <c r="AG311" s="4">
        <v>1606652</v>
      </c>
      <c r="AH311" s="4">
        <v>2005092</v>
      </c>
      <c r="AI311" s="4">
        <v>2403532</v>
      </c>
      <c r="AJ311" s="4">
        <v>2801972</v>
      </c>
      <c r="AK311" s="4">
        <v>3200412</v>
      </c>
      <c r="AL311" s="4">
        <v>3598852</v>
      </c>
      <c r="AM311" s="4">
        <v>3997290</v>
      </c>
      <c r="AN311" s="154">
        <v>336145</v>
      </c>
    </row>
    <row r="312" spans="1:40" x14ac:dyDescent="0.2">
      <c r="A312" s="1">
        <v>2019</v>
      </c>
      <c r="B312" s="2" t="s">
        <v>333</v>
      </c>
      <c r="C312" s="2" t="s">
        <v>333</v>
      </c>
      <c r="D312" s="1" t="s">
        <v>680</v>
      </c>
      <c r="E312" s="3">
        <v>2873380</v>
      </c>
      <c r="F312" s="3">
        <v>580</v>
      </c>
      <c r="G312" s="3">
        <v>11620</v>
      </c>
      <c r="H312" s="1">
        <v>0</v>
      </c>
      <c r="I312" s="3">
        <v>2872800</v>
      </c>
      <c r="J312" s="3">
        <v>2861180</v>
      </c>
      <c r="K312" s="3">
        <v>2861180</v>
      </c>
      <c r="L312" s="3">
        <v>117300</v>
      </c>
      <c r="M312" s="3">
        <v>329934</v>
      </c>
      <c r="N312" s="3">
        <v>53768</v>
      </c>
      <c r="O312" s="3">
        <v>42529</v>
      </c>
      <c r="P312" s="3">
        <v>151888</v>
      </c>
      <c r="Q312" s="3">
        <v>2177381</v>
      </c>
      <c r="R312" s="3">
        <v>2165761</v>
      </c>
      <c r="S312" s="3">
        <v>2165761</v>
      </c>
      <c r="T312" s="3">
        <v>287280</v>
      </c>
      <c r="U312" s="3">
        <v>287280</v>
      </c>
      <c r="V312" s="3">
        <v>287280</v>
      </c>
      <c r="W312" s="3">
        <v>287280</v>
      </c>
      <c r="X312" s="3">
        <v>285343</v>
      </c>
      <c r="Y312" s="3">
        <v>285343</v>
      </c>
      <c r="Z312" s="4">
        <v>285344</v>
      </c>
      <c r="AA312" s="4">
        <v>285344</v>
      </c>
      <c r="AB312" s="4">
        <v>285344</v>
      </c>
      <c r="AC312" s="4">
        <v>285342</v>
      </c>
      <c r="AD312" s="4">
        <v>287280</v>
      </c>
      <c r="AE312" s="4">
        <v>574560</v>
      </c>
      <c r="AF312" s="4">
        <v>861840</v>
      </c>
      <c r="AG312" s="4">
        <v>1149120</v>
      </c>
      <c r="AH312" s="4">
        <v>1434463</v>
      </c>
      <c r="AI312" s="4">
        <v>1719806</v>
      </c>
      <c r="AJ312" s="4">
        <v>2005150</v>
      </c>
      <c r="AK312" s="4">
        <v>2290494</v>
      </c>
      <c r="AL312" s="4">
        <v>2575838</v>
      </c>
      <c r="AM312" s="4">
        <v>2861180</v>
      </c>
      <c r="AN312" s="154">
        <v>203709</v>
      </c>
    </row>
    <row r="313" spans="1:40" x14ac:dyDescent="0.2">
      <c r="A313" s="1">
        <v>2019</v>
      </c>
      <c r="B313" s="2" t="s">
        <v>334</v>
      </c>
      <c r="C313" s="2" t="s">
        <v>334</v>
      </c>
      <c r="D313" s="1" t="s">
        <v>681</v>
      </c>
      <c r="E313" s="3">
        <v>1266370</v>
      </c>
      <c r="F313" s="3">
        <v>182</v>
      </c>
      <c r="G313" s="3">
        <v>6497</v>
      </c>
      <c r="H313" s="1">
        <v>0</v>
      </c>
      <c r="I313" s="3">
        <v>1266188</v>
      </c>
      <c r="J313" s="3">
        <v>1259691</v>
      </c>
      <c r="K313" s="3">
        <v>1259691</v>
      </c>
      <c r="L313" s="3">
        <v>36866</v>
      </c>
      <c r="M313" s="3">
        <v>161561</v>
      </c>
      <c r="N313" s="3">
        <v>15536</v>
      </c>
      <c r="O313" s="3">
        <v>16852</v>
      </c>
      <c r="P313" s="3">
        <v>84923</v>
      </c>
      <c r="Q313" s="3">
        <v>950450</v>
      </c>
      <c r="R313" s="3">
        <v>943953</v>
      </c>
      <c r="S313" s="3">
        <v>943953</v>
      </c>
      <c r="T313" s="3">
        <v>126619</v>
      </c>
      <c r="U313" s="3">
        <v>126619</v>
      </c>
      <c r="V313" s="3">
        <v>126619</v>
      </c>
      <c r="W313" s="3">
        <v>126619</v>
      </c>
      <c r="X313" s="3">
        <v>125536</v>
      </c>
      <c r="Y313" s="3">
        <v>125536</v>
      </c>
      <c r="Z313" s="4">
        <v>125536</v>
      </c>
      <c r="AA313" s="4">
        <v>125536</v>
      </c>
      <c r="AB313" s="4">
        <v>125536</v>
      </c>
      <c r="AC313" s="4">
        <v>125535</v>
      </c>
      <c r="AD313" s="4">
        <v>126619</v>
      </c>
      <c r="AE313" s="4">
        <v>253238</v>
      </c>
      <c r="AF313" s="4">
        <v>379857</v>
      </c>
      <c r="AG313" s="4">
        <v>506476</v>
      </c>
      <c r="AH313" s="4">
        <v>632012</v>
      </c>
      <c r="AI313" s="4">
        <v>757548</v>
      </c>
      <c r="AJ313" s="4">
        <v>883084</v>
      </c>
      <c r="AK313" s="4">
        <v>1008620</v>
      </c>
      <c r="AL313" s="4">
        <v>1134156</v>
      </c>
      <c r="AM313" s="4">
        <v>1259691</v>
      </c>
      <c r="AN313" s="154">
        <v>121858</v>
      </c>
    </row>
    <row r="314" spans="1:40" x14ac:dyDescent="0.2">
      <c r="A314" s="1">
        <v>2019</v>
      </c>
      <c r="B314" s="2" t="s">
        <v>335</v>
      </c>
      <c r="C314" s="2" t="s">
        <v>335</v>
      </c>
      <c r="D314" s="1" t="s">
        <v>682</v>
      </c>
      <c r="E314" s="3">
        <v>8164728</v>
      </c>
      <c r="F314" s="3">
        <v>1012</v>
      </c>
      <c r="G314" s="3">
        <v>36042</v>
      </c>
      <c r="H314" s="1">
        <v>0</v>
      </c>
      <c r="I314" s="3">
        <v>8163716</v>
      </c>
      <c r="J314" s="3">
        <v>8127674</v>
      </c>
      <c r="K314" s="3">
        <v>8127674</v>
      </c>
      <c r="L314" s="3">
        <v>204436</v>
      </c>
      <c r="M314" s="3">
        <v>856092</v>
      </c>
      <c r="N314" s="3">
        <v>93101</v>
      </c>
      <c r="O314" s="3">
        <v>94919</v>
      </c>
      <c r="P314" s="3">
        <v>481705</v>
      </c>
      <c r="Q314" s="3">
        <v>6433463</v>
      </c>
      <c r="R314" s="3">
        <v>6397421</v>
      </c>
      <c r="S314" s="3">
        <v>6397421</v>
      </c>
      <c r="T314" s="3">
        <v>816372</v>
      </c>
      <c r="U314" s="3">
        <v>816372</v>
      </c>
      <c r="V314" s="3">
        <v>816372</v>
      </c>
      <c r="W314" s="3">
        <v>816372</v>
      </c>
      <c r="X314" s="3">
        <v>810364</v>
      </c>
      <c r="Y314" s="3">
        <v>810364</v>
      </c>
      <c r="Z314" s="4">
        <v>810365</v>
      </c>
      <c r="AA314" s="4">
        <v>810365</v>
      </c>
      <c r="AB314" s="4">
        <v>810365</v>
      </c>
      <c r="AC314" s="4">
        <v>810363</v>
      </c>
      <c r="AD314" s="4">
        <v>816372</v>
      </c>
      <c r="AE314" s="4">
        <v>1632744</v>
      </c>
      <c r="AF314" s="4">
        <v>2449116</v>
      </c>
      <c r="AG314" s="4">
        <v>3265488</v>
      </c>
      <c r="AH314" s="4">
        <v>4075852</v>
      </c>
      <c r="AI314" s="4">
        <v>4886216</v>
      </c>
      <c r="AJ314" s="4">
        <v>5696581</v>
      </c>
      <c r="AK314" s="4">
        <v>6506946</v>
      </c>
      <c r="AL314" s="4">
        <v>7317311</v>
      </c>
      <c r="AM314" s="4">
        <v>8127674</v>
      </c>
      <c r="AN314" s="154">
        <v>663573</v>
      </c>
    </row>
    <row r="315" spans="1:40" x14ac:dyDescent="0.2">
      <c r="A315" s="1">
        <v>2019</v>
      </c>
      <c r="B315" s="2" t="s">
        <v>336</v>
      </c>
      <c r="C315" s="2" t="s">
        <v>336</v>
      </c>
      <c r="D315" s="1" t="s">
        <v>683</v>
      </c>
      <c r="E315" s="3">
        <v>43629410</v>
      </c>
      <c r="F315" s="3">
        <v>6734</v>
      </c>
      <c r="G315" s="3">
        <v>222761</v>
      </c>
      <c r="H315" s="1">
        <v>0</v>
      </c>
      <c r="I315" s="3">
        <v>43622676</v>
      </c>
      <c r="J315" s="3">
        <v>43399915</v>
      </c>
      <c r="K315" s="3">
        <v>43399915</v>
      </c>
      <c r="L315" s="3">
        <v>1360674</v>
      </c>
      <c r="M315" s="3">
        <v>4935221</v>
      </c>
      <c r="N315" s="3">
        <v>550151</v>
      </c>
      <c r="O315" s="3">
        <v>562369</v>
      </c>
      <c r="P315" s="3">
        <v>2911727</v>
      </c>
      <c r="Q315" s="3">
        <v>33302534</v>
      </c>
      <c r="R315" s="3">
        <v>33079773</v>
      </c>
      <c r="S315" s="3">
        <v>33079773</v>
      </c>
      <c r="T315" s="3">
        <v>4362268</v>
      </c>
      <c r="U315" s="3">
        <v>4362268</v>
      </c>
      <c r="V315" s="3">
        <v>4362268</v>
      </c>
      <c r="W315" s="3">
        <v>4362268</v>
      </c>
      <c r="X315" s="3">
        <v>4325141</v>
      </c>
      <c r="Y315" s="3">
        <v>4325141</v>
      </c>
      <c r="Z315" s="4">
        <v>4325140</v>
      </c>
      <c r="AA315" s="4">
        <v>4325140</v>
      </c>
      <c r="AB315" s="4">
        <v>4325140</v>
      </c>
      <c r="AC315" s="4">
        <v>4325141</v>
      </c>
      <c r="AD315" s="4">
        <v>4362268</v>
      </c>
      <c r="AE315" s="4">
        <v>8724536</v>
      </c>
      <c r="AF315" s="4">
        <v>13086804</v>
      </c>
      <c r="AG315" s="4">
        <v>17449072</v>
      </c>
      <c r="AH315" s="4">
        <v>21774213</v>
      </c>
      <c r="AI315" s="4">
        <v>26099354</v>
      </c>
      <c r="AJ315" s="4">
        <v>30424494</v>
      </c>
      <c r="AK315" s="4">
        <v>34749634</v>
      </c>
      <c r="AL315" s="4">
        <v>39074774</v>
      </c>
      <c r="AM315" s="4">
        <v>43399915</v>
      </c>
      <c r="AN315" s="154">
        <v>3935098</v>
      </c>
    </row>
    <row r="316" spans="1:40" x14ac:dyDescent="0.2">
      <c r="A316" s="1">
        <v>2019</v>
      </c>
      <c r="B316" s="2" t="s">
        <v>337</v>
      </c>
      <c r="C316" s="2" t="s">
        <v>337</v>
      </c>
      <c r="D316" s="1" t="s">
        <v>684</v>
      </c>
      <c r="E316" s="3">
        <v>16576684</v>
      </c>
      <c r="F316" s="3">
        <v>4445</v>
      </c>
      <c r="G316" s="3">
        <v>77422</v>
      </c>
      <c r="H316" s="1">
        <v>0</v>
      </c>
      <c r="I316" s="3">
        <v>16572239</v>
      </c>
      <c r="J316" s="3">
        <v>16494817</v>
      </c>
      <c r="K316" s="3">
        <v>16494817</v>
      </c>
      <c r="L316" s="3">
        <v>898179</v>
      </c>
      <c r="M316" s="3">
        <v>1793607</v>
      </c>
      <c r="N316" s="3">
        <v>205220</v>
      </c>
      <c r="O316" s="3">
        <v>199237</v>
      </c>
      <c r="P316" s="3">
        <v>1017977</v>
      </c>
      <c r="Q316" s="3">
        <v>12458019</v>
      </c>
      <c r="R316" s="3">
        <v>12380597</v>
      </c>
      <c r="S316" s="3">
        <v>12380597</v>
      </c>
      <c r="T316" s="3">
        <v>1657224</v>
      </c>
      <c r="U316" s="3">
        <v>1657224</v>
      </c>
      <c r="V316" s="3">
        <v>1657224</v>
      </c>
      <c r="W316" s="3">
        <v>1657224</v>
      </c>
      <c r="X316" s="3">
        <v>1644320</v>
      </c>
      <c r="Y316" s="3">
        <v>1644320</v>
      </c>
      <c r="Z316" s="4">
        <v>1644320</v>
      </c>
      <c r="AA316" s="4">
        <v>1644320</v>
      </c>
      <c r="AB316" s="4">
        <v>1644320</v>
      </c>
      <c r="AC316" s="4">
        <v>1644321</v>
      </c>
      <c r="AD316" s="4">
        <v>1657224</v>
      </c>
      <c r="AE316" s="4">
        <v>3314448</v>
      </c>
      <c r="AF316" s="4">
        <v>4971672</v>
      </c>
      <c r="AG316" s="4">
        <v>6628896</v>
      </c>
      <c r="AH316" s="4">
        <v>8273216</v>
      </c>
      <c r="AI316" s="4">
        <v>9917536</v>
      </c>
      <c r="AJ316" s="4">
        <v>11561856</v>
      </c>
      <c r="AK316" s="4">
        <v>13206176</v>
      </c>
      <c r="AL316" s="4">
        <v>14850496</v>
      </c>
      <c r="AM316" s="4">
        <v>16494817</v>
      </c>
      <c r="AN316" s="154">
        <v>1566721</v>
      </c>
    </row>
    <row r="317" spans="1:40" x14ac:dyDescent="0.2">
      <c r="A317" s="1">
        <v>2019</v>
      </c>
      <c r="B317" s="2" t="s">
        <v>338</v>
      </c>
      <c r="C317" s="2" t="s">
        <v>338</v>
      </c>
      <c r="D317" s="1" t="s">
        <v>685</v>
      </c>
      <c r="E317" s="3">
        <v>1868187</v>
      </c>
      <c r="F317" s="3">
        <v>315</v>
      </c>
      <c r="G317" s="3">
        <v>8643</v>
      </c>
      <c r="H317" s="3">
        <v>39297</v>
      </c>
      <c r="I317" s="3">
        <v>1867872</v>
      </c>
      <c r="J317" s="3">
        <v>1859229</v>
      </c>
      <c r="K317" s="3">
        <v>1819932</v>
      </c>
      <c r="L317" s="3">
        <v>63677</v>
      </c>
      <c r="M317" s="3">
        <v>206500</v>
      </c>
      <c r="N317" s="3">
        <v>18988</v>
      </c>
      <c r="O317" s="3">
        <v>22542</v>
      </c>
      <c r="P317" s="3">
        <v>112969</v>
      </c>
      <c r="Q317" s="3">
        <v>1443196</v>
      </c>
      <c r="R317" s="3">
        <v>1434553</v>
      </c>
      <c r="S317" s="3">
        <v>1395256</v>
      </c>
      <c r="T317" s="3">
        <v>186787</v>
      </c>
      <c r="U317" s="3">
        <v>186787</v>
      </c>
      <c r="V317" s="3">
        <v>186787</v>
      </c>
      <c r="W317" s="3">
        <v>186787</v>
      </c>
      <c r="X317" s="3">
        <v>185347</v>
      </c>
      <c r="Y317" s="3">
        <v>185347</v>
      </c>
      <c r="Z317" s="4">
        <v>175523</v>
      </c>
      <c r="AA317" s="4">
        <v>175523</v>
      </c>
      <c r="AB317" s="4">
        <v>175523</v>
      </c>
      <c r="AC317" s="4">
        <v>175521</v>
      </c>
      <c r="AD317" s="4">
        <v>186787</v>
      </c>
      <c r="AE317" s="4">
        <v>373574</v>
      </c>
      <c r="AF317" s="4">
        <v>560361</v>
      </c>
      <c r="AG317" s="4">
        <v>747148</v>
      </c>
      <c r="AH317" s="4">
        <v>932495</v>
      </c>
      <c r="AI317" s="4">
        <v>1117842</v>
      </c>
      <c r="AJ317" s="4">
        <v>1293365</v>
      </c>
      <c r="AK317" s="4">
        <v>1468888</v>
      </c>
      <c r="AL317" s="4">
        <v>1644411</v>
      </c>
      <c r="AM317" s="4">
        <v>1819932</v>
      </c>
      <c r="AN317" s="154">
        <v>177600</v>
      </c>
    </row>
    <row r="318" spans="1:40" x14ac:dyDescent="0.2">
      <c r="A318" s="1">
        <v>2019</v>
      </c>
      <c r="B318" s="2" t="s">
        <v>339</v>
      </c>
      <c r="C318" s="2" t="s">
        <v>339</v>
      </c>
      <c r="D318" s="1" t="s">
        <v>686</v>
      </c>
      <c r="E318" s="3">
        <v>9734549</v>
      </c>
      <c r="F318" s="3">
        <v>1459</v>
      </c>
      <c r="G318" s="3">
        <v>34398</v>
      </c>
      <c r="H318" s="1">
        <v>0</v>
      </c>
      <c r="I318" s="3">
        <v>9733090</v>
      </c>
      <c r="J318" s="3">
        <v>9698692</v>
      </c>
      <c r="K318" s="3">
        <v>9698692</v>
      </c>
      <c r="L318" s="3">
        <v>294925</v>
      </c>
      <c r="M318" s="3">
        <v>808082</v>
      </c>
      <c r="N318" s="3">
        <v>111118</v>
      </c>
      <c r="O318" s="3">
        <v>84416</v>
      </c>
      <c r="P318" s="3">
        <v>449623</v>
      </c>
      <c r="Q318" s="3">
        <v>7984926</v>
      </c>
      <c r="R318" s="3">
        <v>7950528</v>
      </c>
      <c r="S318" s="3">
        <v>7950528</v>
      </c>
      <c r="T318" s="3">
        <v>973309</v>
      </c>
      <c r="U318" s="3">
        <v>973309</v>
      </c>
      <c r="V318" s="3">
        <v>973309</v>
      </c>
      <c r="W318" s="3">
        <v>973309</v>
      </c>
      <c r="X318" s="3">
        <v>967576</v>
      </c>
      <c r="Y318" s="3">
        <v>967576</v>
      </c>
      <c r="Z318" s="4">
        <v>967576</v>
      </c>
      <c r="AA318" s="4">
        <v>967576</v>
      </c>
      <c r="AB318" s="4">
        <v>967576</v>
      </c>
      <c r="AC318" s="4">
        <v>967576</v>
      </c>
      <c r="AD318" s="4">
        <v>973309</v>
      </c>
      <c r="AE318" s="4">
        <v>1946618</v>
      </c>
      <c r="AF318" s="4">
        <v>2919927</v>
      </c>
      <c r="AG318" s="4">
        <v>3893236</v>
      </c>
      <c r="AH318" s="4">
        <v>4860812</v>
      </c>
      <c r="AI318" s="4">
        <v>5828388</v>
      </c>
      <c r="AJ318" s="4">
        <v>6795964</v>
      </c>
      <c r="AK318" s="4">
        <v>7763540</v>
      </c>
      <c r="AL318" s="4">
        <v>8731116</v>
      </c>
      <c r="AM318" s="4">
        <v>9698692</v>
      </c>
      <c r="AN318" s="154">
        <v>606978</v>
      </c>
    </row>
    <row r="319" spans="1:40" x14ac:dyDescent="0.2">
      <c r="A319" s="1">
        <v>2019</v>
      </c>
      <c r="B319" s="2" t="s">
        <v>340</v>
      </c>
      <c r="C319" s="2" t="s">
        <v>340</v>
      </c>
      <c r="D319" s="1" t="s">
        <v>687</v>
      </c>
      <c r="E319" s="3">
        <v>4894252</v>
      </c>
      <c r="F319" s="3">
        <v>779</v>
      </c>
      <c r="G319" s="3">
        <v>23055</v>
      </c>
      <c r="H319" s="1">
        <v>0</v>
      </c>
      <c r="I319" s="3">
        <v>4893473</v>
      </c>
      <c r="J319" s="3">
        <v>4870418</v>
      </c>
      <c r="K319" s="3">
        <v>4870418</v>
      </c>
      <c r="L319" s="3">
        <v>157517</v>
      </c>
      <c r="M319" s="3">
        <v>504124</v>
      </c>
      <c r="N319" s="3">
        <v>57807</v>
      </c>
      <c r="O319" s="3">
        <v>56691</v>
      </c>
      <c r="P319" s="3">
        <v>301360</v>
      </c>
      <c r="Q319" s="3">
        <v>3815974</v>
      </c>
      <c r="R319" s="3">
        <v>3792919</v>
      </c>
      <c r="S319" s="3">
        <v>3792919</v>
      </c>
      <c r="T319" s="3">
        <v>489347</v>
      </c>
      <c r="U319" s="3">
        <v>489347</v>
      </c>
      <c r="V319" s="3">
        <v>489347</v>
      </c>
      <c r="W319" s="3">
        <v>489347</v>
      </c>
      <c r="X319" s="3">
        <v>485505</v>
      </c>
      <c r="Y319" s="3">
        <v>485505</v>
      </c>
      <c r="Z319" s="4">
        <v>485505</v>
      </c>
      <c r="AA319" s="4">
        <v>485505</v>
      </c>
      <c r="AB319" s="4">
        <v>485505</v>
      </c>
      <c r="AC319" s="4">
        <v>485505</v>
      </c>
      <c r="AD319" s="4">
        <v>489347</v>
      </c>
      <c r="AE319" s="4">
        <v>978694</v>
      </c>
      <c r="AF319" s="4">
        <v>1468041</v>
      </c>
      <c r="AG319" s="4">
        <v>1957388</v>
      </c>
      <c r="AH319" s="4">
        <v>2442893</v>
      </c>
      <c r="AI319" s="4">
        <v>2928398</v>
      </c>
      <c r="AJ319" s="4">
        <v>3413903</v>
      </c>
      <c r="AK319" s="4">
        <v>3899408</v>
      </c>
      <c r="AL319" s="4">
        <v>4384913</v>
      </c>
      <c r="AM319" s="4">
        <v>4870418</v>
      </c>
      <c r="AN319" s="154">
        <v>421897</v>
      </c>
    </row>
    <row r="320" spans="1:40" x14ac:dyDescent="0.2">
      <c r="A320" s="1">
        <v>2019</v>
      </c>
      <c r="B320" s="2" t="s">
        <v>341</v>
      </c>
      <c r="C320" s="2" t="s">
        <v>341</v>
      </c>
      <c r="D320" s="1" t="s">
        <v>688</v>
      </c>
      <c r="E320" s="3">
        <v>5488591</v>
      </c>
      <c r="F320" s="1">
        <v>829</v>
      </c>
      <c r="G320" s="3">
        <v>22384</v>
      </c>
      <c r="H320" s="1">
        <v>0</v>
      </c>
      <c r="I320" s="3">
        <v>5487762</v>
      </c>
      <c r="J320" s="3">
        <v>5465378</v>
      </c>
      <c r="K320" s="3">
        <v>5465378</v>
      </c>
      <c r="L320" s="3">
        <v>167571</v>
      </c>
      <c r="M320" s="3">
        <v>520392</v>
      </c>
      <c r="N320" s="3">
        <v>62611</v>
      </c>
      <c r="O320" s="3">
        <v>50809</v>
      </c>
      <c r="P320" s="3">
        <v>292577</v>
      </c>
      <c r="Q320" s="3">
        <v>4393802</v>
      </c>
      <c r="R320" s="3">
        <v>4371418</v>
      </c>
      <c r="S320" s="3">
        <v>4371418</v>
      </c>
      <c r="T320" s="3">
        <v>548776</v>
      </c>
      <c r="U320" s="3">
        <v>548776</v>
      </c>
      <c r="V320" s="3">
        <v>548776</v>
      </c>
      <c r="W320" s="3">
        <v>548776</v>
      </c>
      <c r="X320" s="3">
        <v>545046</v>
      </c>
      <c r="Y320" s="3">
        <v>545046</v>
      </c>
      <c r="Z320" s="4">
        <v>545046</v>
      </c>
      <c r="AA320" s="4">
        <v>545046</v>
      </c>
      <c r="AB320" s="4">
        <v>545046</v>
      </c>
      <c r="AC320" s="4">
        <v>545044</v>
      </c>
      <c r="AD320" s="4">
        <v>548776</v>
      </c>
      <c r="AE320" s="4">
        <v>1097552</v>
      </c>
      <c r="AF320" s="4">
        <v>1646328</v>
      </c>
      <c r="AG320" s="4">
        <v>2195104</v>
      </c>
      <c r="AH320" s="4">
        <v>2740150</v>
      </c>
      <c r="AI320" s="4">
        <v>3285196</v>
      </c>
      <c r="AJ320" s="4">
        <v>3830242</v>
      </c>
      <c r="AK320" s="4">
        <v>4375288</v>
      </c>
      <c r="AL320" s="4">
        <v>4920334</v>
      </c>
      <c r="AM320" s="4">
        <v>5465378</v>
      </c>
      <c r="AN320" s="154">
        <v>402475</v>
      </c>
    </row>
    <row r="321" spans="1:40" x14ac:dyDescent="0.2">
      <c r="A321" s="1">
        <v>2019</v>
      </c>
      <c r="B321" s="2" t="s">
        <v>342</v>
      </c>
      <c r="C321" s="2" t="s">
        <v>342</v>
      </c>
      <c r="D321" s="1" t="s">
        <v>689</v>
      </c>
      <c r="E321" s="3">
        <v>3626386</v>
      </c>
      <c r="F321" s="3">
        <v>746</v>
      </c>
      <c r="G321" s="3">
        <v>15137</v>
      </c>
      <c r="H321" s="3">
        <v>2960</v>
      </c>
      <c r="I321" s="3">
        <v>3625640</v>
      </c>
      <c r="J321" s="3">
        <v>3610503</v>
      </c>
      <c r="K321" s="3">
        <v>3607543</v>
      </c>
      <c r="L321" s="3">
        <v>150814</v>
      </c>
      <c r="M321" s="3">
        <v>386934</v>
      </c>
      <c r="N321" s="3">
        <v>43756</v>
      </c>
      <c r="O321" s="3">
        <v>40887</v>
      </c>
      <c r="P321" s="3">
        <v>209802</v>
      </c>
      <c r="Q321" s="3">
        <v>2793447</v>
      </c>
      <c r="R321" s="3">
        <v>2778310</v>
      </c>
      <c r="S321" s="3">
        <v>2775350</v>
      </c>
      <c r="T321" s="3">
        <v>362564</v>
      </c>
      <c r="U321" s="3">
        <v>362564</v>
      </c>
      <c r="V321" s="3">
        <v>362564</v>
      </c>
      <c r="W321" s="3">
        <v>362564</v>
      </c>
      <c r="X321" s="3">
        <v>360041</v>
      </c>
      <c r="Y321" s="3">
        <v>360041</v>
      </c>
      <c r="Z321" s="4">
        <v>359301</v>
      </c>
      <c r="AA321" s="4">
        <v>359301</v>
      </c>
      <c r="AB321" s="4">
        <v>359301</v>
      </c>
      <c r="AC321" s="4">
        <v>359302</v>
      </c>
      <c r="AD321" s="4">
        <v>362564</v>
      </c>
      <c r="AE321" s="4">
        <v>725128</v>
      </c>
      <c r="AF321" s="4">
        <v>1087692</v>
      </c>
      <c r="AG321" s="4">
        <v>1450256</v>
      </c>
      <c r="AH321" s="4">
        <v>1810297</v>
      </c>
      <c r="AI321" s="4">
        <v>2170338</v>
      </c>
      <c r="AJ321" s="4">
        <v>2529639</v>
      </c>
      <c r="AK321" s="4">
        <v>2888940</v>
      </c>
      <c r="AL321" s="4">
        <v>3248241</v>
      </c>
      <c r="AM321" s="4">
        <v>3607543</v>
      </c>
      <c r="AN321" s="154">
        <v>304150</v>
      </c>
    </row>
    <row r="322" spans="1:40" x14ac:dyDescent="0.2">
      <c r="A322" s="1">
        <v>2019</v>
      </c>
      <c r="B322" s="2" t="s">
        <v>343</v>
      </c>
      <c r="C322" s="2" t="s">
        <v>343</v>
      </c>
      <c r="D322" s="1" t="s">
        <v>690</v>
      </c>
      <c r="E322" s="3">
        <v>5633634</v>
      </c>
      <c r="F322" s="3">
        <v>862</v>
      </c>
      <c r="G322" s="3">
        <v>20827</v>
      </c>
      <c r="H322" s="1">
        <v>0</v>
      </c>
      <c r="I322" s="3">
        <v>5632772</v>
      </c>
      <c r="J322" s="3">
        <v>5611945</v>
      </c>
      <c r="K322" s="3">
        <v>5611945</v>
      </c>
      <c r="L322" s="3">
        <v>174274</v>
      </c>
      <c r="M322" s="3">
        <v>510536</v>
      </c>
      <c r="N322" s="3">
        <v>60484</v>
      </c>
      <c r="O322" s="3">
        <v>58658</v>
      </c>
      <c r="P322" s="3">
        <v>272236</v>
      </c>
      <c r="Q322" s="3">
        <v>4556584</v>
      </c>
      <c r="R322" s="3">
        <v>4535757</v>
      </c>
      <c r="S322" s="3">
        <v>4535757</v>
      </c>
      <c r="T322" s="3">
        <v>563277</v>
      </c>
      <c r="U322" s="3">
        <v>563277</v>
      </c>
      <c r="V322" s="3">
        <v>563277</v>
      </c>
      <c r="W322" s="3">
        <v>563277</v>
      </c>
      <c r="X322" s="3">
        <v>559806</v>
      </c>
      <c r="Y322" s="3">
        <v>559806</v>
      </c>
      <c r="Z322" s="4">
        <v>559806</v>
      </c>
      <c r="AA322" s="4">
        <v>559806</v>
      </c>
      <c r="AB322" s="4">
        <v>559806</v>
      </c>
      <c r="AC322" s="4">
        <v>559807</v>
      </c>
      <c r="AD322" s="4">
        <v>563277</v>
      </c>
      <c r="AE322" s="4">
        <v>1126554</v>
      </c>
      <c r="AF322" s="4">
        <v>1689831</v>
      </c>
      <c r="AG322" s="4">
        <v>2253108</v>
      </c>
      <c r="AH322" s="4">
        <v>2812914</v>
      </c>
      <c r="AI322" s="4">
        <v>3372720</v>
      </c>
      <c r="AJ322" s="4">
        <v>3932526</v>
      </c>
      <c r="AK322" s="4">
        <v>4492332</v>
      </c>
      <c r="AL322" s="4">
        <v>5052138</v>
      </c>
      <c r="AM322" s="4">
        <v>5611945</v>
      </c>
      <c r="AN322" s="154">
        <v>390370</v>
      </c>
    </row>
    <row r="323" spans="1:40" x14ac:dyDescent="0.2">
      <c r="A323" s="1">
        <v>2019</v>
      </c>
      <c r="B323" s="2" t="s">
        <v>344</v>
      </c>
      <c r="C323" s="2" t="s">
        <v>344</v>
      </c>
      <c r="D323" s="1" t="s">
        <v>691</v>
      </c>
      <c r="E323" s="3">
        <v>2425420</v>
      </c>
      <c r="F323" s="1">
        <v>647</v>
      </c>
      <c r="G323" s="3">
        <v>13289</v>
      </c>
      <c r="H323" s="1">
        <v>0</v>
      </c>
      <c r="I323" s="3">
        <v>2424773</v>
      </c>
      <c r="J323" s="3">
        <v>2411484</v>
      </c>
      <c r="K323" s="3">
        <v>2411484</v>
      </c>
      <c r="L323" s="3">
        <v>130705</v>
      </c>
      <c r="M323" s="3">
        <v>329907</v>
      </c>
      <c r="N323" s="3">
        <v>37405</v>
      </c>
      <c r="O323" s="3">
        <v>38065</v>
      </c>
      <c r="P323" s="3">
        <v>174889</v>
      </c>
      <c r="Q323" s="3">
        <v>1713802</v>
      </c>
      <c r="R323" s="3">
        <v>1700513</v>
      </c>
      <c r="S323" s="3">
        <v>1700513</v>
      </c>
      <c r="T323" s="3">
        <v>242477</v>
      </c>
      <c r="U323" s="3">
        <v>242477</v>
      </c>
      <c r="V323" s="3">
        <v>242477</v>
      </c>
      <c r="W323" s="3">
        <v>242477</v>
      </c>
      <c r="X323" s="3">
        <v>240263</v>
      </c>
      <c r="Y323" s="3">
        <v>240263</v>
      </c>
      <c r="Z323" s="4">
        <v>240263</v>
      </c>
      <c r="AA323" s="4">
        <v>240263</v>
      </c>
      <c r="AB323" s="4">
        <v>240263</v>
      </c>
      <c r="AC323" s="4">
        <v>240261</v>
      </c>
      <c r="AD323" s="4">
        <v>242477</v>
      </c>
      <c r="AE323" s="4">
        <v>484954</v>
      </c>
      <c r="AF323" s="4">
        <v>727431</v>
      </c>
      <c r="AG323" s="4">
        <v>969908</v>
      </c>
      <c r="AH323" s="4">
        <v>1210171</v>
      </c>
      <c r="AI323" s="4">
        <v>1450434</v>
      </c>
      <c r="AJ323" s="4">
        <v>1690697</v>
      </c>
      <c r="AK323" s="4">
        <v>1930960</v>
      </c>
      <c r="AL323" s="4">
        <v>2171223</v>
      </c>
      <c r="AM323" s="4">
        <v>2411484</v>
      </c>
      <c r="AN323" s="154">
        <v>241298</v>
      </c>
    </row>
    <row r="324" spans="1:40" x14ac:dyDescent="0.2">
      <c r="A324" s="1">
        <v>2019</v>
      </c>
      <c r="B324" s="2" t="s">
        <v>345</v>
      </c>
      <c r="C324" s="2" t="s">
        <v>345</v>
      </c>
      <c r="D324" s="1" t="s">
        <v>692</v>
      </c>
      <c r="E324" s="3">
        <v>1136549</v>
      </c>
      <c r="F324" s="1">
        <v>149</v>
      </c>
      <c r="G324" s="3">
        <v>5126</v>
      </c>
      <c r="H324" s="1">
        <v>0</v>
      </c>
      <c r="I324" s="3">
        <v>1136400</v>
      </c>
      <c r="J324" s="3">
        <v>1131274</v>
      </c>
      <c r="K324" s="3">
        <v>1131274</v>
      </c>
      <c r="L324" s="3">
        <v>30163</v>
      </c>
      <c r="M324" s="3">
        <v>146907</v>
      </c>
      <c r="N324" s="3">
        <v>18236</v>
      </c>
      <c r="O324" s="3">
        <v>16562</v>
      </c>
      <c r="P324" s="3">
        <v>66998</v>
      </c>
      <c r="Q324" s="3">
        <v>857534</v>
      </c>
      <c r="R324" s="3">
        <v>852408</v>
      </c>
      <c r="S324" s="3">
        <v>852408</v>
      </c>
      <c r="T324" s="3">
        <v>113640</v>
      </c>
      <c r="U324" s="3">
        <v>113640</v>
      </c>
      <c r="V324" s="3">
        <v>113640</v>
      </c>
      <c r="W324" s="3">
        <v>113640</v>
      </c>
      <c r="X324" s="3">
        <v>112786</v>
      </c>
      <c r="Y324" s="3">
        <v>112786</v>
      </c>
      <c r="Z324" s="4">
        <v>112786</v>
      </c>
      <c r="AA324" s="4">
        <v>112786</v>
      </c>
      <c r="AB324" s="4">
        <v>112786</v>
      </c>
      <c r="AC324" s="4">
        <v>112784</v>
      </c>
      <c r="AD324" s="4">
        <v>113640</v>
      </c>
      <c r="AE324" s="4">
        <v>227280</v>
      </c>
      <c r="AF324" s="4">
        <v>340920</v>
      </c>
      <c r="AG324" s="4">
        <v>454560</v>
      </c>
      <c r="AH324" s="4">
        <v>567346</v>
      </c>
      <c r="AI324" s="4">
        <v>680132</v>
      </c>
      <c r="AJ324" s="4">
        <v>792918</v>
      </c>
      <c r="AK324" s="4">
        <v>905704</v>
      </c>
      <c r="AL324" s="4">
        <v>1018490</v>
      </c>
      <c r="AM324" s="4">
        <v>1131274</v>
      </c>
      <c r="AN324" s="154">
        <v>91734</v>
      </c>
    </row>
    <row r="325" spans="1:40" x14ac:dyDescent="0.2">
      <c r="A325" s="1">
        <v>2019</v>
      </c>
      <c r="B325" s="2" t="s">
        <v>346</v>
      </c>
      <c r="C325" s="2" t="s">
        <v>346</v>
      </c>
      <c r="D325" s="1" t="s">
        <v>693</v>
      </c>
      <c r="E325" s="3">
        <v>6362579</v>
      </c>
      <c r="F325" s="3">
        <v>1310</v>
      </c>
      <c r="G325" s="3">
        <v>28079</v>
      </c>
      <c r="H325" s="1">
        <v>0</v>
      </c>
      <c r="I325" s="3">
        <v>6361269</v>
      </c>
      <c r="J325" s="3">
        <v>6333190</v>
      </c>
      <c r="K325" s="3">
        <v>6333190</v>
      </c>
      <c r="L325" s="3">
        <v>264762</v>
      </c>
      <c r="M325" s="3">
        <v>653406</v>
      </c>
      <c r="N325" s="3">
        <v>62005</v>
      </c>
      <c r="O325" s="3">
        <v>71437</v>
      </c>
      <c r="P325" s="3">
        <v>367019</v>
      </c>
      <c r="Q325" s="3">
        <v>4942640</v>
      </c>
      <c r="R325" s="3">
        <v>4914561</v>
      </c>
      <c r="S325" s="3">
        <v>4914561</v>
      </c>
      <c r="T325" s="3">
        <v>636127</v>
      </c>
      <c r="U325" s="3">
        <v>636127</v>
      </c>
      <c r="V325" s="3">
        <v>636127</v>
      </c>
      <c r="W325" s="3">
        <v>636127</v>
      </c>
      <c r="X325" s="3">
        <v>631447</v>
      </c>
      <c r="Y325" s="3">
        <v>631447</v>
      </c>
      <c r="Z325" s="4">
        <v>631447</v>
      </c>
      <c r="AA325" s="4">
        <v>631447</v>
      </c>
      <c r="AB325" s="4">
        <v>631447</v>
      </c>
      <c r="AC325" s="4">
        <v>631447</v>
      </c>
      <c r="AD325" s="4">
        <v>636127</v>
      </c>
      <c r="AE325" s="4">
        <v>1272254</v>
      </c>
      <c r="AF325" s="4">
        <v>1908381</v>
      </c>
      <c r="AG325" s="4">
        <v>2544508</v>
      </c>
      <c r="AH325" s="4">
        <v>3175955</v>
      </c>
      <c r="AI325" s="4">
        <v>3807402</v>
      </c>
      <c r="AJ325" s="4">
        <v>4438849</v>
      </c>
      <c r="AK325" s="4">
        <v>5070296</v>
      </c>
      <c r="AL325" s="4">
        <v>5701743</v>
      </c>
      <c r="AM325" s="4">
        <v>6333190</v>
      </c>
      <c r="AN325" s="154">
        <v>480891</v>
      </c>
    </row>
    <row r="326" spans="1:40" x14ac:dyDescent="0.2">
      <c r="A326" s="1">
        <v>2019</v>
      </c>
      <c r="B326" s="2" t="s">
        <v>347</v>
      </c>
      <c r="C326" s="2" t="s">
        <v>347</v>
      </c>
      <c r="D326" s="1" t="s">
        <v>694</v>
      </c>
      <c r="E326" s="3">
        <v>5012863</v>
      </c>
      <c r="F326" s="1">
        <v>763</v>
      </c>
      <c r="G326" s="3">
        <v>20697</v>
      </c>
      <c r="H326" s="1">
        <v>0</v>
      </c>
      <c r="I326" s="3">
        <v>5012100</v>
      </c>
      <c r="J326" s="3">
        <v>4991403</v>
      </c>
      <c r="K326" s="3">
        <v>4991403</v>
      </c>
      <c r="L326" s="3">
        <v>154165</v>
      </c>
      <c r="M326" s="3">
        <v>493257</v>
      </c>
      <c r="N326" s="3">
        <v>55872</v>
      </c>
      <c r="O326" s="3">
        <v>55069</v>
      </c>
      <c r="P326" s="3">
        <v>270538</v>
      </c>
      <c r="Q326" s="3">
        <v>3983199</v>
      </c>
      <c r="R326" s="3">
        <v>3962502</v>
      </c>
      <c r="S326" s="3">
        <v>3962502</v>
      </c>
      <c r="T326" s="3">
        <v>501210</v>
      </c>
      <c r="U326" s="3">
        <v>501210</v>
      </c>
      <c r="V326" s="3">
        <v>501210</v>
      </c>
      <c r="W326" s="3">
        <v>501210</v>
      </c>
      <c r="X326" s="3">
        <v>497761</v>
      </c>
      <c r="Y326" s="3">
        <v>497761</v>
      </c>
      <c r="Z326" s="4">
        <v>497760</v>
      </c>
      <c r="AA326" s="4">
        <v>497760</v>
      </c>
      <c r="AB326" s="4">
        <v>497760</v>
      </c>
      <c r="AC326" s="4">
        <v>497761</v>
      </c>
      <c r="AD326" s="4">
        <v>501210</v>
      </c>
      <c r="AE326" s="4">
        <v>1002420</v>
      </c>
      <c r="AF326" s="4">
        <v>1503630</v>
      </c>
      <c r="AG326" s="4">
        <v>2004840</v>
      </c>
      <c r="AH326" s="4">
        <v>2502601</v>
      </c>
      <c r="AI326" s="4">
        <v>3000362</v>
      </c>
      <c r="AJ326" s="4">
        <v>3498122</v>
      </c>
      <c r="AK326" s="4">
        <v>3995882</v>
      </c>
      <c r="AL326" s="4">
        <v>4493642</v>
      </c>
      <c r="AM326" s="4">
        <v>4991403</v>
      </c>
      <c r="AN326" s="154">
        <v>349157</v>
      </c>
    </row>
    <row r="327" spans="1:40" x14ac:dyDescent="0.2">
      <c r="A327" s="1">
        <v>2019</v>
      </c>
      <c r="B327" s="2" t="s">
        <v>348</v>
      </c>
      <c r="C327" s="2" t="s">
        <v>348</v>
      </c>
      <c r="D327" s="1" t="s">
        <v>695</v>
      </c>
      <c r="E327" s="3">
        <v>2000451</v>
      </c>
      <c r="F327" s="1">
        <v>282</v>
      </c>
      <c r="G327" s="3">
        <v>8475</v>
      </c>
      <c r="H327" s="3">
        <v>0</v>
      </c>
      <c r="I327" s="3">
        <v>2000169</v>
      </c>
      <c r="J327" s="3">
        <v>1991694</v>
      </c>
      <c r="K327" s="3">
        <v>1991694</v>
      </c>
      <c r="L327" s="3">
        <v>56974</v>
      </c>
      <c r="M327" s="3">
        <v>214157</v>
      </c>
      <c r="N327" s="3">
        <v>26360</v>
      </c>
      <c r="O327" s="3">
        <v>23203</v>
      </c>
      <c r="P327" s="3">
        <v>114922</v>
      </c>
      <c r="Q327" s="3">
        <v>1564553</v>
      </c>
      <c r="R327" s="3">
        <v>1556078</v>
      </c>
      <c r="S327" s="3">
        <v>1556078</v>
      </c>
      <c r="T327" s="3">
        <v>200017</v>
      </c>
      <c r="U327" s="3">
        <v>200017</v>
      </c>
      <c r="V327" s="3">
        <v>200017</v>
      </c>
      <c r="W327" s="3">
        <v>200017</v>
      </c>
      <c r="X327" s="3">
        <v>198604</v>
      </c>
      <c r="Y327" s="3">
        <v>198604</v>
      </c>
      <c r="Z327" s="4">
        <v>198605</v>
      </c>
      <c r="AA327" s="4">
        <v>198605</v>
      </c>
      <c r="AB327" s="4">
        <v>198605</v>
      </c>
      <c r="AC327" s="4">
        <v>198603</v>
      </c>
      <c r="AD327" s="4">
        <v>200017</v>
      </c>
      <c r="AE327" s="4">
        <v>400034</v>
      </c>
      <c r="AF327" s="4">
        <v>600051</v>
      </c>
      <c r="AG327" s="4">
        <v>800068</v>
      </c>
      <c r="AH327" s="4">
        <v>998672</v>
      </c>
      <c r="AI327" s="4">
        <v>1197276</v>
      </c>
      <c r="AJ327" s="4">
        <v>1395881</v>
      </c>
      <c r="AK327" s="4">
        <v>1594486</v>
      </c>
      <c r="AL327" s="4">
        <v>1793091</v>
      </c>
      <c r="AM327" s="4">
        <v>1991694</v>
      </c>
      <c r="AN327" s="154">
        <v>149179</v>
      </c>
    </row>
    <row r="328" spans="1:40" x14ac:dyDescent="0.2">
      <c r="A328" s="1">
        <v>2019</v>
      </c>
      <c r="B328" s="2" t="s">
        <v>349</v>
      </c>
      <c r="C328" s="2" t="s">
        <v>349</v>
      </c>
      <c r="D328" s="1" t="s">
        <v>696</v>
      </c>
      <c r="E328" s="3">
        <v>10748316</v>
      </c>
      <c r="F328" s="3">
        <v>1377</v>
      </c>
      <c r="G328" s="3">
        <v>42724</v>
      </c>
      <c r="H328" s="1">
        <v>0</v>
      </c>
      <c r="I328" s="3">
        <v>10746939</v>
      </c>
      <c r="J328" s="3">
        <v>10704215</v>
      </c>
      <c r="K328" s="3">
        <v>10704215</v>
      </c>
      <c r="L328" s="3">
        <v>278167</v>
      </c>
      <c r="M328" s="3">
        <v>961399</v>
      </c>
      <c r="N328" s="3">
        <v>124825</v>
      </c>
      <c r="O328" s="3">
        <v>103958</v>
      </c>
      <c r="P328" s="3">
        <v>558446</v>
      </c>
      <c r="Q328" s="3">
        <v>8720144</v>
      </c>
      <c r="R328" s="3">
        <v>8677420</v>
      </c>
      <c r="S328" s="3">
        <v>8677420</v>
      </c>
      <c r="T328" s="3">
        <v>1074694</v>
      </c>
      <c r="U328" s="3">
        <v>1074694</v>
      </c>
      <c r="V328" s="3">
        <v>1074694</v>
      </c>
      <c r="W328" s="3">
        <v>1074694</v>
      </c>
      <c r="X328" s="3">
        <v>1067573</v>
      </c>
      <c r="Y328" s="3">
        <v>1067573</v>
      </c>
      <c r="Z328" s="4">
        <v>1067573</v>
      </c>
      <c r="AA328" s="4">
        <v>1067573</v>
      </c>
      <c r="AB328" s="4">
        <v>1067573</v>
      </c>
      <c r="AC328" s="4">
        <v>1067574</v>
      </c>
      <c r="AD328" s="4">
        <v>1074694</v>
      </c>
      <c r="AE328" s="4">
        <v>2149388</v>
      </c>
      <c r="AF328" s="4">
        <v>3224082</v>
      </c>
      <c r="AG328" s="4">
        <v>4298776</v>
      </c>
      <c r="AH328" s="4">
        <v>5366349</v>
      </c>
      <c r="AI328" s="4">
        <v>6433922</v>
      </c>
      <c r="AJ328" s="4">
        <v>7501495</v>
      </c>
      <c r="AK328" s="4">
        <v>8569068</v>
      </c>
      <c r="AL328" s="4">
        <v>9636641</v>
      </c>
      <c r="AM328" s="4">
        <v>10704215</v>
      </c>
      <c r="AN328" s="154">
        <v>728231</v>
      </c>
    </row>
    <row r="329" spans="1:40" x14ac:dyDescent="0.2">
      <c r="A329" s="1">
        <v>2019</v>
      </c>
      <c r="B329" s="2" t="s">
        <v>350</v>
      </c>
      <c r="C329" s="2" t="s">
        <v>350</v>
      </c>
      <c r="D329" s="1" t="s">
        <v>697</v>
      </c>
      <c r="E329" s="3">
        <v>2711916</v>
      </c>
      <c r="F329" s="1">
        <v>315</v>
      </c>
      <c r="G329" s="3">
        <v>11740</v>
      </c>
      <c r="H329" s="1">
        <v>0</v>
      </c>
      <c r="I329" s="3">
        <v>2711601</v>
      </c>
      <c r="J329" s="3">
        <v>2699861</v>
      </c>
      <c r="K329" s="3">
        <v>2699861</v>
      </c>
      <c r="L329" s="3">
        <v>63677</v>
      </c>
      <c r="M329" s="3">
        <v>300022</v>
      </c>
      <c r="N329" s="3">
        <v>34878</v>
      </c>
      <c r="O329" s="3">
        <v>33590</v>
      </c>
      <c r="P329" s="3">
        <v>154879</v>
      </c>
      <c r="Q329" s="3">
        <v>2124555</v>
      </c>
      <c r="R329" s="3">
        <v>2112815</v>
      </c>
      <c r="S329" s="3">
        <v>2112815</v>
      </c>
      <c r="T329" s="3">
        <v>271160</v>
      </c>
      <c r="U329" s="3">
        <v>271160</v>
      </c>
      <c r="V329" s="3">
        <v>271160</v>
      </c>
      <c r="W329" s="3">
        <v>271160</v>
      </c>
      <c r="X329" s="3">
        <v>269204</v>
      </c>
      <c r="Y329" s="3">
        <v>269204</v>
      </c>
      <c r="Z329" s="4">
        <v>269203</v>
      </c>
      <c r="AA329" s="4">
        <v>269203</v>
      </c>
      <c r="AB329" s="4">
        <v>269203</v>
      </c>
      <c r="AC329" s="4">
        <v>269204</v>
      </c>
      <c r="AD329" s="4">
        <v>271160</v>
      </c>
      <c r="AE329" s="4">
        <v>542320</v>
      </c>
      <c r="AF329" s="4">
        <v>813480</v>
      </c>
      <c r="AG329" s="4">
        <v>1084640</v>
      </c>
      <c r="AH329" s="4">
        <v>1353844</v>
      </c>
      <c r="AI329" s="4">
        <v>1623048</v>
      </c>
      <c r="AJ329" s="4">
        <v>1892251</v>
      </c>
      <c r="AK329" s="4">
        <v>2161454</v>
      </c>
      <c r="AL329" s="4">
        <v>2430657</v>
      </c>
      <c r="AM329" s="4">
        <v>2699861</v>
      </c>
      <c r="AN329" s="154">
        <v>201436</v>
      </c>
    </row>
    <row r="330" spans="1:40" x14ac:dyDescent="0.2">
      <c r="A330" s="1">
        <v>2019</v>
      </c>
      <c r="B330" s="2" t="s">
        <v>351</v>
      </c>
      <c r="C330" s="2" t="s">
        <v>351</v>
      </c>
      <c r="D330" s="1" t="s">
        <v>698</v>
      </c>
      <c r="E330" s="3">
        <v>3523243</v>
      </c>
      <c r="F330" s="1">
        <v>614</v>
      </c>
      <c r="G330" s="3">
        <v>13736</v>
      </c>
      <c r="H330" s="1">
        <v>0</v>
      </c>
      <c r="I330" s="3">
        <v>3522629</v>
      </c>
      <c r="J330" s="3">
        <v>3508893</v>
      </c>
      <c r="K330" s="3">
        <v>3508893</v>
      </c>
      <c r="L330" s="3">
        <v>124002</v>
      </c>
      <c r="M330" s="3">
        <v>323024</v>
      </c>
      <c r="N330" s="3">
        <v>36701</v>
      </c>
      <c r="O330" s="3">
        <v>35158</v>
      </c>
      <c r="P330" s="3">
        <v>180805</v>
      </c>
      <c r="Q330" s="3">
        <v>2822939</v>
      </c>
      <c r="R330" s="3">
        <v>2809203</v>
      </c>
      <c r="S330" s="3">
        <v>2809203</v>
      </c>
      <c r="T330" s="3">
        <v>352263</v>
      </c>
      <c r="U330" s="3">
        <v>352263</v>
      </c>
      <c r="V330" s="3">
        <v>352263</v>
      </c>
      <c r="W330" s="3">
        <v>352263</v>
      </c>
      <c r="X330" s="3">
        <v>349974</v>
      </c>
      <c r="Y330" s="3">
        <v>349974</v>
      </c>
      <c r="Z330" s="4">
        <v>349973</v>
      </c>
      <c r="AA330" s="4">
        <v>349973</v>
      </c>
      <c r="AB330" s="4">
        <v>349973</v>
      </c>
      <c r="AC330" s="4">
        <v>349974</v>
      </c>
      <c r="AD330" s="4">
        <v>352263</v>
      </c>
      <c r="AE330" s="4">
        <v>704526</v>
      </c>
      <c r="AF330" s="4">
        <v>1056789</v>
      </c>
      <c r="AG330" s="4">
        <v>1409052</v>
      </c>
      <c r="AH330" s="4">
        <v>1759026</v>
      </c>
      <c r="AI330" s="4">
        <v>2109000</v>
      </c>
      <c r="AJ330" s="4">
        <v>2458973</v>
      </c>
      <c r="AK330" s="4">
        <v>2808946</v>
      </c>
      <c r="AL330" s="4">
        <v>3158919</v>
      </c>
      <c r="AM330" s="4">
        <v>3508893</v>
      </c>
      <c r="AN330" s="154">
        <v>251885</v>
      </c>
    </row>
    <row r="331" spans="1:40" x14ac:dyDescent="0.2">
      <c r="A331" s="1">
        <v>2019</v>
      </c>
      <c r="B331" s="2" t="s">
        <v>352</v>
      </c>
      <c r="C331" s="2" t="s">
        <v>352</v>
      </c>
      <c r="D331" s="1" t="s">
        <v>699</v>
      </c>
      <c r="E331" s="3">
        <v>5878512</v>
      </c>
      <c r="F331" s="3">
        <v>1410</v>
      </c>
      <c r="G331" s="3">
        <v>23985</v>
      </c>
      <c r="H331" s="1">
        <v>0</v>
      </c>
      <c r="I331" s="3">
        <v>5877102</v>
      </c>
      <c r="J331" s="3">
        <v>5853117</v>
      </c>
      <c r="K331" s="3">
        <v>5853117</v>
      </c>
      <c r="L331" s="3">
        <v>284870</v>
      </c>
      <c r="M331" s="3">
        <v>553258</v>
      </c>
      <c r="N331" s="3">
        <v>61184</v>
      </c>
      <c r="O331" s="3">
        <v>57919</v>
      </c>
      <c r="P331" s="3">
        <v>313505</v>
      </c>
      <c r="Q331" s="3">
        <v>4606366</v>
      </c>
      <c r="R331" s="3">
        <v>4582381</v>
      </c>
      <c r="S331" s="3">
        <v>4582381</v>
      </c>
      <c r="T331" s="3">
        <v>587710</v>
      </c>
      <c r="U331" s="3">
        <v>587710</v>
      </c>
      <c r="V331" s="3">
        <v>587710</v>
      </c>
      <c r="W331" s="3">
        <v>587710</v>
      </c>
      <c r="X331" s="3">
        <v>583713</v>
      </c>
      <c r="Y331" s="3">
        <v>583713</v>
      </c>
      <c r="Z331" s="4">
        <v>583713</v>
      </c>
      <c r="AA331" s="4">
        <v>583713</v>
      </c>
      <c r="AB331" s="4">
        <v>583713</v>
      </c>
      <c r="AC331" s="4">
        <v>583712</v>
      </c>
      <c r="AD331" s="4">
        <v>587710</v>
      </c>
      <c r="AE331" s="4">
        <v>1175420</v>
      </c>
      <c r="AF331" s="4">
        <v>1763130</v>
      </c>
      <c r="AG331" s="4">
        <v>2350840</v>
      </c>
      <c r="AH331" s="4">
        <v>2934553</v>
      </c>
      <c r="AI331" s="4">
        <v>3518266</v>
      </c>
      <c r="AJ331" s="4">
        <v>4101979</v>
      </c>
      <c r="AK331" s="4">
        <v>4685692</v>
      </c>
      <c r="AL331" s="4">
        <v>5269405</v>
      </c>
      <c r="AM331" s="4">
        <v>5853117</v>
      </c>
      <c r="AN331" s="154">
        <v>414820</v>
      </c>
    </row>
    <row r="332" spans="1:40" x14ac:dyDescent="0.2">
      <c r="B332" s="128" t="s">
        <v>798</v>
      </c>
      <c r="D332" s="1" t="s">
        <v>797</v>
      </c>
      <c r="E332" s="3">
        <f t="shared" ref="E332:AN332" si="0">SUM(E2:E331)</f>
        <v>2996663304</v>
      </c>
      <c r="F332" s="3">
        <f t="shared" si="0"/>
        <v>405057</v>
      </c>
      <c r="G332" s="3">
        <f t="shared" si="0"/>
        <v>12146313</v>
      </c>
      <c r="H332" s="3">
        <f t="shared" si="0"/>
        <v>2487865</v>
      </c>
      <c r="I332" s="3">
        <f t="shared" si="0"/>
        <v>2996258247</v>
      </c>
      <c r="J332" s="3">
        <f t="shared" si="0"/>
        <v>2984111934</v>
      </c>
      <c r="K332" s="3">
        <f t="shared" si="0"/>
        <v>2981624069</v>
      </c>
      <c r="L332" s="3">
        <f t="shared" si="0"/>
        <v>81831615</v>
      </c>
      <c r="M332" s="3">
        <f t="shared" si="0"/>
        <v>282938336</v>
      </c>
      <c r="N332" s="3">
        <f t="shared" si="0"/>
        <v>34895866</v>
      </c>
      <c r="O332" s="3">
        <f t="shared" si="0"/>
        <v>32059802</v>
      </c>
      <c r="P332" s="3">
        <f t="shared" si="0"/>
        <v>159466485</v>
      </c>
      <c r="Q332" s="3">
        <f t="shared" si="0"/>
        <v>2405066143</v>
      </c>
      <c r="R332" s="3">
        <f t="shared" si="0"/>
        <v>2392919830</v>
      </c>
      <c r="S332" s="3">
        <f t="shared" si="0"/>
        <v>2390431965</v>
      </c>
      <c r="T332" s="3">
        <f t="shared" si="0"/>
        <v>299625839</v>
      </c>
      <c r="U332" s="3">
        <f t="shared" si="0"/>
        <v>299625839</v>
      </c>
      <c r="V332" s="3">
        <f t="shared" si="0"/>
        <v>299625839</v>
      </c>
      <c r="W332" s="3">
        <f t="shared" si="0"/>
        <v>299625839</v>
      </c>
      <c r="X332" s="3">
        <f t="shared" si="0"/>
        <v>297601459</v>
      </c>
      <c r="Y332" s="3">
        <f t="shared" si="0"/>
        <v>297601459</v>
      </c>
      <c r="Z332" s="3">
        <f t="shared" si="0"/>
        <v>296979492</v>
      </c>
      <c r="AA332" s="3">
        <f t="shared" si="0"/>
        <v>296979492</v>
      </c>
      <c r="AB332" s="3">
        <f t="shared" si="0"/>
        <v>296979492</v>
      </c>
      <c r="AC332" s="3">
        <f t="shared" si="0"/>
        <v>296979319</v>
      </c>
      <c r="AD332" s="3">
        <f t="shared" si="0"/>
        <v>299625839</v>
      </c>
      <c r="AE332" s="3">
        <f t="shared" si="0"/>
        <v>599251678</v>
      </c>
      <c r="AF332" s="3">
        <f t="shared" si="0"/>
        <v>898877517</v>
      </c>
      <c r="AG332" s="3">
        <f t="shared" si="0"/>
        <v>1198503356</v>
      </c>
      <c r="AH332" s="3">
        <f t="shared" si="0"/>
        <v>1496104815</v>
      </c>
      <c r="AI332" s="3">
        <f t="shared" si="0"/>
        <v>1793706274</v>
      </c>
      <c r="AJ332" s="3">
        <f t="shared" si="0"/>
        <v>2090685766</v>
      </c>
      <c r="AK332" s="3">
        <f t="shared" si="0"/>
        <v>2387665258</v>
      </c>
      <c r="AL332" s="3">
        <f t="shared" si="0"/>
        <v>2684644750</v>
      </c>
      <c r="AM332" s="3">
        <f t="shared" si="0"/>
        <v>2981624069</v>
      </c>
      <c r="AN332" s="3">
        <f t="shared" si="0"/>
        <v>220653247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46"/>
  <sheetViews>
    <sheetView workbookViewId="0">
      <selection activeCell="B22" sqref="B22"/>
    </sheetView>
  </sheetViews>
  <sheetFormatPr defaultRowHeight="12.75" x14ac:dyDescent="0.2"/>
  <cols>
    <col min="1" max="1" width="41" style="1" bestFit="1" customWidth="1"/>
    <col min="2" max="2" width="12.140625" style="1" customWidth="1"/>
    <col min="3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707</v>
      </c>
      <c r="B1" s="8">
        <f>Data!A2</f>
        <v>2019</v>
      </c>
      <c r="G1" s="9"/>
      <c r="H1" s="9"/>
      <c r="I1" s="1" t="s">
        <v>726</v>
      </c>
      <c r="K1" s="1" t="s">
        <v>775</v>
      </c>
      <c r="L1" s="1" t="s">
        <v>727</v>
      </c>
      <c r="M1" s="1" t="s">
        <v>728</v>
      </c>
      <c r="N1" s="1" t="s">
        <v>729</v>
      </c>
    </row>
    <row r="2" spans="1:14" x14ac:dyDescent="0.2">
      <c r="A2" s="1" t="s">
        <v>713</v>
      </c>
      <c r="B2" s="8" t="s">
        <v>725</v>
      </c>
      <c r="I2" s="1" t="s">
        <v>714</v>
      </c>
      <c r="J2" s="1" t="s">
        <v>727</v>
      </c>
      <c r="L2" s="1">
        <v>1</v>
      </c>
      <c r="M2" s="1">
        <v>0</v>
      </c>
      <c r="N2" s="1">
        <v>0</v>
      </c>
    </row>
    <row r="3" spans="1:14" x14ac:dyDescent="0.2">
      <c r="A3" s="1" t="s">
        <v>715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3 Regular State Payment Budget</v>
      </c>
      <c r="I3" s="1" t="s">
        <v>717</v>
      </c>
      <c r="J3" s="1" t="s">
        <v>727</v>
      </c>
      <c r="L3" s="1">
        <v>2</v>
      </c>
      <c r="M3" s="1">
        <v>0</v>
      </c>
      <c r="N3" s="1">
        <v>0</v>
      </c>
    </row>
    <row r="4" spans="1:14" x14ac:dyDescent="0.2">
      <c r="A4" s="1" t="s">
        <v>716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3 State Foundation Aid (Code 3111)</v>
      </c>
      <c r="I4" s="1" t="s">
        <v>718</v>
      </c>
      <c r="J4" s="1" t="s">
        <v>727</v>
      </c>
      <c r="L4" s="1">
        <v>3</v>
      </c>
      <c r="M4" s="1">
        <v>0</v>
      </c>
      <c r="N4" s="1">
        <v>0</v>
      </c>
    </row>
    <row r="5" spans="1:14" x14ac:dyDescent="0.2">
      <c r="I5" s="1" t="s">
        <v>719</v>
      </c>
      <c r="J5" s="1" t="s">
        <v>727</v>
      </c>
      <c r="L5" s="1">
        <v>4</v>
      </c>
      <c r="M5" s="1">
        <v>0</v>
      </c>
      <c r="N5" s="1">
        <v>0</v>
      </c>
    </row>
    <row r="6" spans="1:14" x14ac:dyDescent="0.2">
      <c r="I6" s="1" t="s">
        <v>720</v>
      </c>
      <c r="J6" s="1" t="s">
        <v>728</v>
      </c>
      <c r="L6" s="1">
        <v>4</v>
      </c>
      <c r="M6" s="1">
        <v>1</v>
      </c>
      <c r="N6" s="1">
        <v>0</v>
      </c>
    </row>
    <row r="7" spans="1:14" x14ac:dyDescent="0.2">
      <c r="I7" s="1" t="s">
        <v>721</v>
      </c>
      <c r="J7" s="1" t="s">
        <v>728</v>
      </c>
      <c r="L7" s="1">
        <v>4</v>
      </c>
      <c r="M7" s="1">
        <v>2</v>
      </c>
      <c r="N7" s="1">
        <v>0</v>
      </c>
    </row>
    <row r="8" spans="1:14" x14ac:dyDescent="0.2">
      <c r="I8" s="1" t="s">
        <v>722</v>
      </c>
      <c r="J8" s="1" t="s">
        <v>729</v>
      </c>
      <c r="L8" s="1">
        <v>4</v>
      </c>
      <c r="M8" s="1">
        <v>2</v>
      </c>
      <c r="N8" s="1">
        <v>1</v>
      </c>
    </row>
    <row r="9" spans="1:14" x14ac:dyDescent="0.2">
      <c r="I9" s="1" t="s">
        <v>723</v>
      </c>
      <c r="J9" s="1" t="s">
        <v>729</v>
      </c>
      <c r="L9" s="1">
        <v>4</v>
      </c>
      <c r="M9" s="1">
        <v>2</v>
      </c>
      <c r="N9" s="1">
        <v>2</v>
      </c>
    </row>
    <row r="10" spans="1:14" x14ac:dyDescent="0.2">
      <c r="I10" s="1" t="s">
        <v>724</v>
      </c>
      <c r="J10" s="1" t="s">
        <v>729</v>
      </c>
      <c r="L10" s="1">
        <v>4</v>
      </c>
      <c r="M10" s="1">
        <v>2</v>
      </c>
      <c r="N10" s="1">
        <v>3</v>
      </c>
    </row>
    <row r="11" spans="1:14" x14ac:dyDescent="0.2">
      <c r="I11" s="1" t="s">
        <v>725</v>
      </c>
      <c r="J11" s="1" t="s">
        <v>730</v>
      </c>
      <c r="L11" s="1">
        <v>4</v>
      </c>
      <c r="M11" s="1">
        <v>2</v>
      </c>
      <c r="N11" s="1">
        <v>3</v>
      </c>
    </row>
    <row r="14" spans="1:14" x14ac:dyDescent="0.2">
      <c r="A14" s="1" t="s">
        <v>743</v>
      </c>
      <c r="B14" s="1" t="s">
        <v>745</v>
      </c>
    </row>
    <row r="15" spans="1:14" x14ac:dyDescent="0.2">
      <c r="A15" s="1" t="s">
        <v>744</v>
      </c>
      <c r="B15" s="3">
        <f>'Budget Total'!C336-'Budget Total'!D336-'Budget Total'!E336-'Budget Total'!F336-'Budget Total'!G336</f>
        <v>0</v>
      </c>
    </row>
    <row r="16" spans="1:14" x14ac:dyDescent="0.2">
      <c r="A16" s="1" t="s">
        <v>746</v>
      </c>
      <c r="B16" s="3">
        <f>'Budget Total'!G336-'Budget by Source'!I336</f>
        <v>0</v>
      </c>
    </row>
    <row r="17" spans="1:3" x14ac:dyDescent="0.2">
      <c r="A17" s="1" t="s">
        <v>747</v>
      </c>
      <c r="B17" s="3">
        <f>SUM('Budget by Source'!C336:H336)-'Budget by Source'!I336</f>
        <v>0</v>
      </c>
    </row>
    <row r="18" spans="1:3" x14ac:dyDescent="0.2">
      <c r="A18" s="6" t="s">
        <v>750</v>
      </c>
      <c r="B18" s="3">
        <f>'Payment by Source'!I336-'Payment Total'!F337</f>
        <v>0</v>
      </c>
      <c r="C18" s="1" t="s">
        <v>779</v>
      </c>
    </row>
    <row r="19" spans="1:3" x14ac:dyDescent="0.2">
      <c r="A19" s="7" t="s">
        <v>756</v>
      </c>
      <c r="B19" s="3">
        <f>'Payment Total'!Q337-'Payment Total'!F337</f>
        <v>0</v>
      </c>
      <c r="C19" s="1" t="s">
        <v>780</v>
      </c>
    </row>
    <row r="20" spans="1:3" x14ac:dyDescent="0.2">
      <c r="A20" s="7" t="s">
        <v>760</v>
      </c>
      <c r="B20" s="1">
        <f>'Payment Total'!W337-'Payment Total'!Q337</f>
        <v>-2</v>
      </c>
    </row>
    <row r="21" spans="1:3" x14ac:dyDescent="0.2">
      <c r="A21" s="6" t="s">
        <v>770</v>
      </c>
      <c r="B21" s="3">
        <f>SUM('Payment Total'!$N$7:$N$336)</f>
        <v>0</v>
      </c>
    </row>
    <row r="22" spans="1:3" x14ac:dyDescent="0.2">
      <c r="A22" s="6" t="s">
        <v>771</v>
      </c>
      <c r="B22" s="64">
        <f>SUM('Payment Total'!$T$7:$T$336,'Payment Total'!$Z$7:$Z$336)</f>
        <v>2</v>
      </c>
    </row>
    <row r="23" spans="1:3" x14ac:dyDescent="0.2">
      <c r="A23" s="6" t="s">
        <v>772</v>
      </c>
      <c r="B23" s="64">
        <f>SUM('Payment by Source'!$K$6:$K$335)</f>
        <v>0</v>
      </c>
      <c r="C23" s="1" t="s">
        <v>776</v>
      </c>
    </row>
    <row r="24" spans="1:3" x14ac:dyDescent="0.2">
      <c r="A24" s="6" t="s">
        <v>773</v>
      </c>
      <c r="B24" s="3">
        <f>'Budget Total'!G336-SUM('Payment Total'!G337,'Payment Total'!H337)</f>
        <v>0</v>
      </c>
    </row>
    <row r="25" spans="1:3" x14ac:dyDescent="0.2">
      <c r="A25" s="6"/>
    </row>
    <row r="26" spans="1:3" x14ac:dyDescent="0.2">
      <c r="A26" s="6"/>
    </row>
    <row r="27" spans="1:3" x14ac:dyDescent="0.2">
      <c r="A27" s="6"/>
    </row>
    <row r="28" spans="1:3" x14ac:dyDescent="0.2">
      <c r="A28" s="6" t="s">
        <v>761</v>
      </c>
    </row>
    <row r="29" spans="1:3" x14ac:dyDescent="0.2">
      <c r="A29" s="6" t="s">
        <v>807</v>
      </c>
    </row>
    <row r="30" spans="1:3" x14ac:dyDescent="0.2">
      <c r="A30" s="6"/>
    </row>
    <row r="31" spans="1:3" x14ac:dyDescent="0.2">
      <c r="A31" s="6"/>
    </row>
    <row r="32" spans="1:3" x14ac:dyDescent="0.2">
      <c r="A32" s="123" t="s">
        <v>795</v>
      </c>
      <c r="B32" s="72" t="s">
        <v>796</v>
      </c>
    </row>
    <row r="33" spans="1:2" x14ac:dyDescent="0.2">
      <c r="A33" s="124">
        <v>43362</v>
      </c>
      <c r="B33" s="72"/>
    </row>
    <row r="34" spans="1:2" x14ac:dyDescent="0.2">
      <c r="A34" s="124">
        <v>43390</v>
      </c>
      <c r="B34" s="72"/>
    </row>
    <row r="35" spans="1:2" x14ac:dyDescent="0.2">
      <c r="A35" s="124">
        <v>43423</v>
      </c>
      <c r="B35" s="72"/>
    </row>
    <row r="36" spans="1:2" x14ac:dyDescent="0.2">
      <c r="A36" s="124">
        <v>43453</v>
      </c>
      <c r="B36" s="72"/>
    </row>
    <row r="37" spans="1:2" x14ac:dyDescent="0.2">
      <c r="A37" s="124">
        <v>43482</v>
      </c>
      <c r="B37" s="72"/>
    </row>
    <row r="38" spans="1:2" x14ac:dyDescent="0.2">
      <c r="A38" s="124">
        <v>43516</v>
      </c>
      <c r="B38" s="72"/>
    </row>
    <row r="39" spans="1:2" x14ac:dyDescent="0.2">
      <c r="A39" s="124">
        <v>43543</v>
      </c>
      <c r="B39" s="72"/>
    </row>
    <row r="40" spans="1:2" x14ac:dyDescent="0.2">
      <c r="A40" s="124">
        <v>43572</v>
      </c>
      <c r="B40" s="72"/>
    </row>
    <row r="41" spans="1:2" x14ac:dyDescent="0.2">
      <c r="A41" s="124">
        <v>43602</v>
      </c>
      <c r="B41" s="72"/>
    </row>
    <row r="42" spans="1:2" x14ac:dyDescent="0.2">
      <c r="A42" s="124">
        <v>43635</v>
      </c>
      <c r="B42" s="72"/>
    </row>
    <row r="43" spans="1:2" x14ac:dyDescent="0.2">
      <c r="A43" s="6"/>
    </row>
    <row r="44" spans="1:2" x14ac:dyDescent="0.2">
      <c r="A44" s="6"/>
    </row>
    <row r="45" spans="1:2" x14ac:dyDescent="0.2">
      <c r="A45" s="6"/>
    </row>
    <row r="46" spans="1:2" x14ac:dyDescent="0.2">
      <c r="A46" s="6"/>
    </row>
  </sheetData>
  <dataValidations count="1">
    <dataValidation type="list" allowBlank="1" showInputMessage="1" showErrorMessage="1" sqref="B2">
      <formula1>$I$2:$I$11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6"/>
  <sheetViews>
    <sheetView workbookViewId="0">
      <pane ySplit="2" topLeftCell="A312" activePane="bottomLeft" state="frozen"/>
      <selection pane="bottomLeft" activeCell="D336" sqref="D336"/>
    </sheetView>
  </sheetViews>
  <sheetFormatPr defaultRowHeight="15" x14ac:dyDescent="0.25"/>
  <cols>
    <col min="1" max="1" width="9.140625" style="171"/>
    <col min="2" max="2" width="8.5703125" style="126" customWidth="1"/>
    <col min="3" max="3" width="9.140625" style="171" bestFit="1" customWidth="1"/>
    <col min="4" max="4" width="41" style="126" bestFit="1" customWidth="1"/>
    <col min="5" max="5" width="31.7109375" style="126" bestFit="1" customWidth="1"/>
    <col min="6" max="16384" width="9.140625" style="126"/>
  </cols>
  <sheetData>
    <row r="1" spans="1:6" ht="43.5" customHeight="1" x14ac:dyDescent="0.25">
      <c r="D1" s="175" t="str">
        <f>CONCATENATE("FY ",$A$3," Special Education Deficit Payment
Based on FY ",$A$3-1," Special Education Balances")</f>
        <v>FY 2019 Special Education Deficit Payment
Based on FY 2018 Special Education Balances</v>
      </c>
      <c r="E1" s="170"/>
      <c r="F1" s="170"/>
    </row>
    <row r="2" spans="1:6" x14ac:dyDescent="0.25">
      <c r="A2" s="176" t="s">
        <v>353</v>
      </c>
      <c r="B2" s="177" t="s">
        <v>808</v>
      </c>
      <c r="C2" s="176" t="s">
        <v>354</v>
      </c>
      <c r="D2" s="177" t="s">
        <v>1144</v>
      </c>
      <c r="E2" s="177" t="s">
        <v>1145</v>
      </c>
    </row>
    <row r="3" spans="1:6" x14ac:dyDescent="0.25">
      <c r="A3" s="173">
        <v>2019</v>
      </c>
      <c r="B3" s="168" t="s">
        <v>21</v>
      </c>
      <c r="C3" s="172" t="s">
        <v>21</v>
      </c>
      <c r="D3" s="168" t="s">
        <v>1146</v>
      </c>
      <c r="E3" s="169">
        <v>1271</v>
      </c>
    </row>
    <row r="4" spans="1:6" x14ac:dyDescent="0.25">
      <c r="A4" s="173">
        <v>2019</v>
      </c>
      <c r="B4" s="168" t="s">
        <v>22</v>
      </c>
      <c r="C4" s="172" t="s">
        <v>22</v>
      </c>
      <c r="D4" s="168" t="s">
        <v>1147</v>
      </c>
      <c r="E4" s="169">
        <v>14831</v>
      </c>
    </row>
    <row r="5" spans="1:6" x14ac:dyDescent="0.25">
      <c r="A5" s="173">
        <v>2019</v>
      </c>
      <c r="B5" s="168" t="s">
        <v>20</v>
      </c>
      <c r="C5" s="172" t="s">
        <v>20</v>
      </c>
      <c r="D5" s="168" t="s">
        <v>0</v>
      </c>
      <c r="E5" s="169">
        <v>5623</v>
      </c>
    </row>
    <row r="6" spans="1:6" x14ac:dyDescent="0.25">
      <c r="A6" s="173">
        <v>2019</v>
      </c>
      <c r="B6" s="168" t="s">
        <v>42</v>
      </c>
      <c r="C6" s="172" t="s">
        <v>42</v>
      </c>
      <c r="D6" s="168" t="s">
        <v>19</v>
      </c>
      <c r="E6" s="169">
        <v>10863</v>
      </c>
    </row>
    <row r="7" spans="1:6" x14ac:dyDescent="0.25">
      <c r="A7" s="173">
        <v>2019</v>
      </c>
      <c r="B7" s="168" t="s">
        <v>23</v>
      </c>
      <c r="C7" s="172" t="s">
        <v>23</v>
      </c>
      <c r="D7" s="168" t="s">
        <v>1148</v>
      </c>
      <c r="E7" s="169">
        <v>1389</v>
      </c>
    </row>
    <row r="8" spans="1:6" x14ac:dyDescent="0.25">
      <c r="A8" s="173">
        <v>2019</v>
      </c>
      <c r="B8" s="168" t="s">
        <v>24</v>
      </c>
      <c r="C8" s="172" t="s">
        <v>24</v>
      </c>
      <c r="D8" s="168" t="s">
        <v>1149</v>
      </c>
      <c r="E8" s="169">
        <v>0</v>
      </c>
    </row>
    <row r="9" spans="1:6" x14ac:dyDescent="0.25">
      <c r="A9" s="173">
        <v>2019</v>
      </c>
      <c r="B9" s="168" t="s">
        <v>25</v>
      </c>
      <c r="C9" s="172" t="s">
        <v>25</v>
      </c>
      <c r="D9" s="168" t="s">
        <v>1150</v>
      </c>
      <c r="E9" s="169">
        <v>0</v>
      </c>
    </row>
    <row r="10" spans="1:6" x14ac:dyDescent="0.25">
      <c r="A10" s="173">
        <v>2019</v>
      </c>
      <c r="B10" s="168" t="s">
        <v>26</v>
      </c>
      <c r="C10" s="172" t="s">
        <v>26</v>
      </c>
      <c r="D10" s="168" t="s">
        <v>1151</v>
      </c>
      <c r="E10" s="169">
        <v>1865</v>
      </c>
    </row>
    <row r="11" spans="1:6" x14ac:dyDescent="0.25">
      <c r="A11" s="173">
        <v>2019</v>
      </c>
      <c r="B11" s="168" t="s">
        <v>27</v>
      </c>
      <c r="C11" s="172" t="s">
        <v>27</v>
      </c>
      <c r="D11" s="168" t="s">
        <v>1152</v>
      </c>
      <c r="E11" s="169">
        <v>867</v>
      </c>
    </row>
    <row r="12" spans="1:6" x14ac:dyDescent="0.25">
      <c r="A12" s="173">
        <v>2019</v>
      </c>
      <c r="B12" s="168" t="s">
        <v>28</v>
      </c>
      <c r="C12" s="172" t="s">
        <v>28</v>
      </c>
      <c r="D12" s="168" t="s">
        <v>1153</v>
      </c>
      <c r="E12" s="169">
        <v>14770</v>
      </c>
    </row>
    <row r="13" spans="1:6" x14ac:dyDescent="0.25">
      <c r="A13" s="173">
        <v>2019</v>
      </c>
      <c r="B13" s="168" t="s">
        <v>29</v>
      </c>
      <c r="C13" s="172" t="s">
        <v>29</v>
      </c>
      <c r="D13" s="168" t="s">
        <v>1154</v>
      </c>
      <c r="E13" s="169">
        <v>1178</v>
      </c>
    </row>
    <row r="14" spans="1:6" x14ac:dyDescent="0.25">
      <c r="A14" s="173">
        <v>2019</v>
      </c>
      <c r="B14" s="168" t="s">
        <v>31</v>
      </c>
      <c r="C14" s="172" t="s">
        <v>31</v>
      </c>
      <c r="D14" s="168" t="s">
        <v>1155</v>
      </c>
      <c r="E14" s="169">
        <v>6776</v>
      </c>
    </row>
    <row r="15" spans="1:6" x14ac:dyDescent="0.25">
      <c r="A15" s="173">
        <v>2019</v>
      </c>
      <c r="B15" s="168" t="s">
        <v>32</v>
      </c>
      <c r="C15" s="172" t="s">
        <v>32</v>
      </c>
      <c r="D15" s="168" t="s">
        <v>1156</v>
      </c>
      <c r="E15" s="169">
        <v>31762</v>
      </c>
    </row>
    <row r="16" spans="1:6" x14ac:dyDescent="0.25">
      <c r="A16" s="173">
        <v>2019</v>
      </c>
      <c r="B16" s="168" t="s">
        <v>33</v>
      </c>
      <c r="C16" s="172" t="s">
        <v>33</v>
      </c>
      <c r="D16" s="168" t="s">
        <v>1157</v>
      </c>
      <c r="E16" s="169">
        <v>6939</v>
      </c>
    </row>
    <row r="17" spans="1:5" x14ac:dyDescent="0.25">
      <c r="A17" s="173">
        <v>2019</v>
      </c>
      <c r="B17" s="168" t="s">
        <v>34</v>
      </c>
      <c r="C17" s="172" t="s">
        <v>34</v>
      </c>
      <c r="D17" s="168" t="s">
        <v>1158</v>
      </c>
      <c r="E17" s="169">
        <v>120</v>
      </c>
    </row>
    <row r="18" spans="1:5" x14ac:dyDescent="0.25">
      <c r="A18" s="173">
        <v>2019</v>
      </c>
      <c r="B18" s="168" t="s">
        <v>35</v>
      </c>
      <c r="C18" s="172" t="s">
        <v>35</v>
      </c>
      <c r="D18" s="168" t="s">
        <v>1159</v>
      </c>
      <c r="E18" s="169">
        <v>71297</v>
      </c>
    </row>
    <row r="19" spans="1:5" x14ac:dyDescent="0.25">
      <c r="A19" s="173">
        <v>2019</v>
      </c>
      <c r="B19" s="168" t="s">
        <v>36</v>
      </c>
      <c r="C19" s="172" t="s">
        <v>36</v>
      </c>
      <c r="D19" s="168" t="s">
        <v>1160</v>
      </c>
      <c r="E19" s="169">
        <v>807</v>
      </c>
    </row>
    <row r="20" spans="1:5" x14ac:dyDescent="0.25">
      <c r="A20" s="173">
        <v>2019</v>
      </c>
      <c r="B20" s="168" t="s">
        <v>38</v>
      </c>
      <c r="C20" s="172" t="s">
        <v>38</v>
      </c>
      <c r="D20" s="168" t="s">
        <v>1161</v>
      </c>
      <c r="E20" s="169">
        <v>0</v>
      </c>
    </row>
    <row r="21" spans="1:5" x14ac:dyDescent="0.25">
      <c r="A21" s="173">
        <v>2019</v>
      </c>
      <c r="B21" s="168" t="s">
        <v>39</v>
      </c>
      <c r="C21" s="172" t="s">
        <v>39</v>
      </c>
      <c r="D21" s="168" t="s">
        <v>1162</v>
      </c>
      <c r="E21" s="169">
        <v>9711</v>
      </c>
    </row>
    <row r="22" spans="1:5" x14ac:dyDescent="0.25">
      <c r="A22" s="173">
        <v>2019</v>
      </c>
      <c r="B22" s="168" t="s">
        <v>40</v>
      </c>
      <c r="C22" s="172" t="s">
        <v>40</v>
      </c>
      <c r="D22" s="168" t="s">
        <v>1163</v>
      </c>
      <c r="E22" s="169">
        <v>0</v>
      </c>
    </row>
    <row r="23" spans="1:5" x14ac:dyDescent="0.25">
      <c r="A23" s="173">
        <v>2019</v>
      </c>
      <c r="B23" s="168" t="s">
        <v>43</v>
      </c>
      <c r="C23" s="172" t="s">
        <v>43</v>
      </c>
      <c r="D23" s="168" t="s">
        <v>1164</v>
      </c>
      <c r="E23" s="169">
        <v>6192</v>
      </c>
    </row>
    <row r="24" spans="1:5" x14ac:dyDescent="0.25">
      <c r="A24" s="173">
        <v>2019</v>
      </c>
      <c r="B24" s="168" t="s">
        <v>45</v>
      </c>
      <c r="C24" s="172" t="s">
        <v>45</v>
      </c>
      <c r="D24" s="168" t="s">
        <v>1165</v>
      </c>
      <c r="E24" s="169">
        <v>0</v>
      </c>
    </row>
    <row r="25" spans="1:5" x14ac:dyDescent="0.25">
      <c r="A25" s="173">
        <v>2019</v>
      </c>
      <c r="B25" s="168" t="s">
        <v>46</v>
      </c>
      <c r="C25" s="172" t="s">
        <v>46</v>
      </c>
      <c r="D25" s="168" t="s">
        <v>1</v>
      </c>
      <c r="E25" s="169">
        <v>5156</v>
      </c>
    </row>
    <row r="26" spans="1:5" x14ac:dyDescent="0.25">
      <c r="A26" s="173">
        <v>2019</v>
      </c>
      <c r="B26" s="168" t="s">
        <v>47</v>
      </c>
      <c r="C26" s="172" t="s">
        <v>47</v>
      </c>
      <c r="D26" s="168" t="s">
        <v>1166</v>
      </c>
      <c r="E26" s="169">
        <v>5106</v>
      </c>
    </row>
    <row r="27" spans="1:5" x14ac:dyDescent="0.25">
      <c r="A27" s="173">
        <v>2019</v>
      </c>
      <c r="B27" s="168" t="s">
        <v>48</v>
      </c>
      <c r="C27" s="172" t="s">
        <v>48</v>
      </c>
      <c r="D27" s="168" t="s">
        <v>1167</v>
      </c>
      <c r="E27" s="169">
        <v>3096</v>
      </c>
    </row>
    <row r="28" spans="1:5" x14ac:dyDescent="0.25">
      <c r="A28" s="173">
        <v>2019</v>
      </c>
      <c r="B28" s="168" t="s">
        <v>49</v>
      </c>
      <c r="C28" s="172" t="s">
        <v>49</v>
      </c>
      <c r="D28" s="168" t="s">
        <v>1168</v>
      </c>
      <c r="E28" s="169">
        <v>0</v>
      </c>
    </row>
    <row r="29" spans="1:5" x14ac:dyDescent="0.25">
      <c r="A29" s="173">
        <v>2019</v>
      </c>
      <c r="B29" s="168" t="s">
        <v>50</v>
      </c>
      <c r="C29" s="172" t="s">
        <v>50</v>
      </c>
      <c r="D29" s="168" t="s">
        <v>1169</v>
      </c>
      <c r="E29" s="169">
        <v>9169</v>
      </c>
    </row>
    <row r="30" spans="1:5" x14ac:dyDescent="0.25">
      <c r="A30" s="173">
        <v>2019</v>
      </c>
      <c r="B30" s="168" t="s">
        <v>51</v>
      </c>
      <c r="C30" s="172" t="s">
        <v>51</v>
      </c>
      <c r="D30" s="168" t="s">
        <v>1170</v>
      </c>
      <c r="E30" s="169">
        <v>0</v>
      </c>
    </row>
    <row r="31" spans="1:5" x14ac:dyDescent="0.25">
      <c r="A31" s="173">
        <v>2019</v>
      </c>
      <c r="B31" s="168" t="s">
        <v>52</v>
      </c>
      <c r="C31" s="172" t="s">
        <v>52</v>
      </c>
      <c r="D31" s="168" t="s">
        <v>1171</v>
      </c>
      <c r="E31" s="169">
        <v>5556</v>
      </c>
    </row>
    <row r="32" spans="1:5" x14ac:dyDescent="0.25">
      <c r="A32" s="173">
        <v>2019</v>
      </c>
      <c r="B32" s="168" t="s">
        <v>53</v>
      </c>
      <c r="C32" s="172" t="s">
        <v>53</v>
      </c>
      <c r="D32" s="168" t="s">
        <v>1172</v>
      </c>
      <c r="E32" s="169">
        <v>14666</v>
      </c>
    </row>
    <row r="33" spans="1:5" x14ac:dyDescent="0.25">
      <c r="A33" s="173">
        <v>2019</v>
      </c>
      <c r="B33" s="168" t="s">
        <v>55</v>
      </c>
      <c r="C33" s="172" t="s">
        <v>55</v>
      </c>
      <c r="D33" s="168" t="s">
        <v>1173</v>
      </c>
      <c r="E33" s="169">
        <v>1765</v>
      </c>
    </row>
    <row r="34" spans="1:5" x14ac:dyDescent="0.25">
      <c r="A34" s="173">
        <v>2019</v>
      </c>
      <c r="B34" s="168" t="s">
        <v>56</v>
      </c>
      <c r="C34" s="172" t="s">
        <v>56</v>
      </c>
      <c r="D34" s="168" t="s">
        <v>1174</v>
      </c>
      <c r="E34" s="169">
        <v>8964</v>
      </c>
    </row>
    <row r="35" spans="1:5" x14ac:dyDescent="0.25">
      <c r="A35" s="173">
        <v>2019</v>
      </c>
      <c r="B35" s="168" t="s">
        <v>57</v>
      </c>
      <c r="C35" s="172" t="s">
        <v>57</v>
      </c>
      <c r="D35" s="168" t="s">
        <v>1175</v>
      </c>
      <c r="E35" s="169">
        <v>2993</v>
      </c>
    </row>
    <row r="36" spans="1:5" x14ac:dyDescent="0.25">
      <c r="A36" s="173">
        <v>2019</v>
      </c>
      <c r="B36" s="168" t="s">
        <v>113</v>
      </c>
      <c r="C36" s="172" t="s">
        <v>113</v>
      </c>
      <c r="D36" s="168" t="s">
        <v>1176</v>
      </c>
      <c r="E36" s="169">
        <v>147</v>
      </c>
    </row>
    <row r="37" spans="1:5" x14ac:dyDescent="0.25">
      <c r="A37" s="173">
        <v>2019</v>
      </c>
      <c r="B37" s="168" t="s">
        <v>59</v>
      </c>
      <c r="C37" s="172" t="s">
        <v>59</v>
      </c>
      <c r="D37" s="168" t="s">
        <v>1177</v>
      </c>
      <c r="E37" s="169">
        <v>1370</v>
      </c>
    </row>
    <row r="38" spans="1:5" x14ac:dyDescent="0.25">
      <c r="A38" s="173">
        <v>2019</v>
      </c>
      <c r="B38" s="168" t="s">
        <v>61</v>
      </c>
      <c r="C38" s="172" t="s">
        <v>61</v>
      </c>
      <c r="D38" s="168" t="s">
        <v>1178</v>
      </c>
      <c r="E38" s="169">
        <v>0</v>
      </c>
    </row>
    <row r="39" spans="1:5" x14ac:dyDescent="0.25">
      <c r="A39" s="173">
        <v>2019</v>
      </c>
      <c r="B39" s="168" t="s">
        <v>63</v>
      </c>
      <c r="C39" s="172" t="s">
        <v>63</v>
      </c>
      <c r="D39" s="168" t="s">
        <v>3</v>
      </c>
      <c r="E39" s="169">
        <v>1530</v>
      </c>
    </row>
    <row r="40" spans="1:5" x14ac:dyDescent="0.25">
      <c r="A40" s="173">
        <v>2019</v>
      </c>
      <c r="B40" s="168" t="s">
        <v>64</v>
      </c>
      <c r="C40" s="172" t="s">
        <v>64</v>
      </c>
      <c r="D40" s="168" t="s">
        <v>1179</v>
      </c>
      <c r="E40" s="169">
        <v>2998</v>
      </c>
    </row>
    <row r="41" spans="1:5" x14ac:dyDescent="0.25">
      <c r="A41" s="173">
        <v>2019</v>
      </c>
      <c r="B41" s="168" t="s">
        <v>62</v>
      </c>
      <c r="C41" s="172" t="s">
        <v>62</v>
      </c>
      <c r="D41" s="168" t="s">
        <v>2</v>
      </c>
      <c r="E41" s="169">
        <v>2913</v>
      </c>
    </row>
    <row r="42" spans="1:5" x14ac:dyDescent="0.25">
      <c r="A42" s="173">
        <v>2019</v>
      </c>
      <c r="B42" s="168" t="s">
        <v>65</v>
      </c>
      <c r="C42" s="172" t="s">
        <v>65</v>
      </c>
      <c r="D42" s="168" t="s">
        <v>1180</v>
      </c>
      <c r="E42" s="169">
        <v>6665</v>
      </c>
    </row>
    <row r="43" spans="1:5" x14ac:dyDescent="0.25">
      <c r="A43" s="173">
        <v>2019</v>
      </c>
      <c r="B43" s="168" t="s">
        <v>66</v>
      </c>
      <c r="C43" s="172" t="s">
        <v>66</v>
      </c>
      <c r="D43" s="168" t="s">
        <v>1181</v>
      </c>
      <c r="E43" s="169">
        <v>1687</v>
      </c>
    </row>
    <row r="44" spans="1:5" x14ac:dyDescent="0.25">
      <c r="A44" s="173">
        <v>2019</v>
      </c>
      <c r="B44" s="168" t="s">
        <v>67</v>
      </c>
      <c r="C44" s="172" t="s">
        <v>67</v>
      </c>
      <c r="D44" s="168" t="s">
        <v>1182</v>
      </c>
      <c r="E44" s="169">
        <v>4453</v>
      </c>
    </row>
    <row r="45" spans="1:5" x14ac:dyDescent="0.25">
      <c r="A45" s="173">
        <v>2019</v>
      </c>
      <c r="B45" s="168" t="s">
        <v>68</v>
      </c>
      <c r="C45" s="172" t="s">
        <v>68</v>
      </c>
      <c r="D45" s="168" t="s">
        <v>1183</v>
      </c>
      <c r="E45" s="169">
        <v>5800</v>
      </c>
    </row>
    <row r="46" spans="1:5" x14ac:dyDescent="0.25">
      <c r="A46" s="173">
        <v>2019</v>
      </c>
      <c r="B46" s="168" t="s">
        <v>69</v>
      </c>
      <c r="C46" s="172" t="s">
        <v>69</v>
      </c>
      <c r="D46" s="168" t="s">
        <v>1184</v>
      </c>
      <c r="E46" s="169">
        <v>8088</v>
      </c>
    </row>
    <row r="47" spans="1:5" x14ac:dyDescent="0.25">
      <c r="A47" s="173">
        <v>2019</v>
      </c>
      <c r="B47" s="168" t="s">
        <v>70</v>
      </c>
      <c r="C47" s="172" t="s">
        <v>70</v>
      </c>
      <c r="D47" s="168" t="s">
        <v>1185</v>
      </c>
      <c r="E47" s="169">
        <v>128910</v>
      </c>
    </row>
    <row r="48" spans="1:5" x14ac:dyDescent="0.25">
      <c r="A48" s="173">
        <v>2019</v>
      </c>
      <c r="B48" s="168" t="s">
        <v>71</v>
      </c>
      <c r="C48" s="172" t="s">
        <v>71</v>
      </c>
      <c r="D48" s="168" t="s">
        <v>1186</v>
      </c>
      <c r="E48" s="169">
        <v>5048</v>
      </c>
    </row>
    <row r="49" spans="1:5" x14ac:dyDescent="0.25">
      <c r="A49" s="173">
        <v>2019</v>
      </c>
      <c r="B49" s="168" t="s">
        <v>72</v>
      </c>
      <c r="C49" s="172" t="s">
        <v>72</v>
      </c>
      <c r="D49" s="168" t="s">
        <v>1187</v>
      </c>
      <c r="E49" s="169">
        <v>4754</v>
      </c>
    </row>
    <row r="50" spans="1:5" x14ac:dyDescent="0.25">
      <c r="A50" s="173">
        <v>2019</v>
      </c>
      <c r="B50" s="168" t="s">
        <v>76</v>
      </c>
      <c r="C50" s="172" t="s">
        <v>76</v>
      </c>
      <c r="D50" s="168" t="s">
        <v>1188</v>
      </c>
      <c r="E50" s="169">
        <v>1876</v>
      </c>
    </row>
    <row r="51" spans="1:5" x14ac:dyDescent="0.25">
      <c r="A51" s="173">
        <v>2019</v>
      </c>
      <c r="B51" s="168" t="s">
        <v>74</v>
      </c>
      <c r="C51" s="172" t="s">
        <v>74</v>
      </c>
      <c r="D51" s="168" t="s">
        <v>1189</v>
      </c>
      <c r="E51" s="169">
        <v>4617</v>
      </c>
    </row>
    <row r="52" spans="1:5" x14ac:dyDescent="0.25">
      <c r="A52" s="173">
        <v>2019</v>
      </c>
      <c r="B52" s="168" t="s">
        <v>75</v>
      </c>
      <c r="C52" s="172" t="s">
        <v>75</v>
      </c>
      <c r="D52" s="168" t="s">
        <v>1190</v>
      </c>
      <c r="E52" s="169">
        <v>8768</v>
      </c>
    </row>
    <row r="53" spans="1:5" x14ac:dyDescent="0.25">
      <c r="A53" s="173">
        <v>2019</v>
      </c>
      <c r="B53" s="168" t="s">
        <v>77</v>
      </c>
      <c r="C53" s="172" t="s">
        <v>77</v>
      </c>
      <c r="D53" s="168" t="s">
        <v>1191</v>
      </c>
      <c r="E53" s="169">
        <v>2410</v>
      </c>
    </row>
    <row r="54" spans="1:5" x14ac:dyDescent="0.25">
      <c r="A54" s="173">
        <v>2019</v>
      </c>
      <c r="B54" s="168" t="s">
        <v>73</v>
      </c>
      <c r="C54" s="172" t="s">
        <v>73</v>
      </c>
      <c r="D54" s="168" t="s">
        <v>1192</v>
      </c>
      <c r="E54" s="169">
        <v>3404</v>
      </c>
    </row>
    <row r="55" spans="1:5" x14ac:dyDescent="0.25">
      <c r="A55" s="173">
        <v>2019</v>
      </c>
      <c r="B55" s="168" t="s">
        <v>78</v>
      </c>
      <c r="C55" s="172" t="s">
        <v>78</v>
      </c>
      <c r="D55" s="168" t="s">
        <v>1193</v>
      </c>
      <c r="E55" s="169">
        <v>3630</v>
      </c>
    </row>
    <row r="56" spans="1:5" x14ac:dyDescent="0.25">
      <c r="A56" s="173">
        <v>2019</v>
      </c>
      <c r="B56" s="168" t="s">
        <v>230</v>
      </c>
      <c r="C56" s="172" t="s">
        <v>230</v>
      </c>
      <c r="D56" s="168" t="s">
        <v>1194</v>
      </c>
      <c r="E56" s="169">
        <v>5541</v>
      </c>
    </row>
    <row r="57" spans="1:5" x14ac:dyDescent="0.25">
      <c r="A57" s="173">
        <v>2019</v>
      </c>
      <c r="B57" s="168" t="s">
        <v>79</v>
      </c>
      <c r="C57" s="172" t="s">
        <v>79</v>
      </c>
      <c r="D57" s="168" t="s">
        <v>1195</v>
      </c>
      <c r="E57" s="169">
        <v>401</v>
      </c>
    </row>
    <row r="58" spans="1:5" x14ac:dyDescent="0.25">
      <c r="A58" s="173">
        <v>2019</v>
      </c>
      <c r="B58" s="168" t="s">
        <v>80</v>
      </c>
      <c r="C58" s="172" t="s">
        <v>80</v>
      </c>
      <c r="D58" s="168" t="s">
        <v>1196</v>
      </c>
      <c r="E58" s="169">
        <v>3889</v>
      </c>
    </row>
    <row r="59" spans="1:5" x14ac:dyDescent="0.25">
      <c r="A59" s="173">
        <v>2019</v>
      </c>
      <c r="B59" s="168" t="s">
        <v>81</v>
      </c>
      <c r="C59" s="172" t="s">
        <v>81</v>
      </c>
      <c r="D59" s="168" t="s">
        <v>1197</v>
      </c>
      <c r="E59" s="169">
        <v>993</v>
      </c>
    </row>
    <row r="60" spans="1:5" x14ac:dyDescent="0.25">
      <c r="A60" s="173">
        <v>2019</v>
      </c>
      <c r="B60" s="168" t="s">
        <v>82</v>
      </c>
      <c r="C60" s="172" t="s">
        <v>82</v>
      </c>
      <c r="D60" s="168" t="s">
        <v>1198</v>
      </c>
      <c r="E60" s="169">
        <v>2145</v>
      </c>
    </row>
    <row r="61" spans="1:5" x14ac:dyDescent="0.25">
      <c r="A61" s="173">
        <v>2019</v>
      </c>
      <c r="B61" s="168" t="s">
        <v>83</v>
      </c>
      <c r="C61" s="172" t="s">
        <v>83</v>
      </c>
      <c r="D61" s="168" t="s">
        <v>1199</v>
      </c>
      <c r="E61" s="169">
        <v>1493</v>
      </c>
    </row>
    <row r="62" spans="1:5" x14ac:dyDescent="0.25">
      <c r="A62" s="173">
        <v>2019</v>
      </c>
      <c r="B62" s="168" t="s">
        <v>84</v>
      </c>
      <c r="C62" s="172" t="s">
        <v>84</v>
      </c>
      <c r="D62" s="168" t="s">
        <v>1200</v>
      </c>
      <c r="E62" s="169">
        <v>6249</v>
      </c>
    </row>
    <row r="63" spans="1:5" x14ac:dyDescent="0.25">
      <c r="A63" s="173">
        <v>2019</v>
      </c>
      <c r="B63" s="168" t="s">
        <v>85</v>
      </c>
      <c r="C63" s="172" t="s">
        <v>85</v>
      </c>
      <c r="D63" s="168" t="s">
        <v>1201</v>
      </c>
      <c r="E63" s="169">
        <v>11551</v>
      </c>
    </row>
    <row r="64" spans="1:5" x14ac:dyDescent="0.25">
      <c r="A64" s="173">
        <v>2019</v>
      </c>
      <c r="B64" s="168" t="s">
        <v>86</v>
      </c>
      <c r="C64" s="172" t="s">
        <v>86</v>
      </c>
      <c r="D64" s="168" t="s">
        <v>1202</v>
      </c>
      <c r="E64" s="169">
        <v>1328</v>
      </c>
    </row>
    <row r="65" spans="1:5" x14ac:dyDescent="0.25">
      <c r="A65" s="173">
        <v>2019</v>
      </c>
      <c r="B65" s="168" t="s">
        <v>87</v>
      </c>
      <c r="C65" s="172" t="s">
        <v>87</v>
      </c>
      <c r="D65" s="168" t="s">
        <v>1203</v>
      </c>
      <c r="E65" s="169">
        <v>2630</v>
      </c>
    </row>
    <row r="66" spans="1:5" x14ac:dyDescent="0.25">
      <c r="A66" s="173">
        <v>2019</v>
      </c>
      <c r="B66" s="168" t="s">
        <v>150</v>
      </c>
      <c r="C66" s="172" t="s">
        <v>150</v>
      </c>
      <c r="D66" s="168" t="s">
        <v>1204</v>
      </c>
      <c r="E66" s="169">
        <v>5481</v>
      </c>
    </row>
    <row r="67" spans="1:5" x14ac:dyDescent="0.25">
      <c r="A67" s="173">
        <v>2019</v>
      </c>
      <c r="B67" s="168" t="s">
        <v>88</v>
      </c>
      <c r="C67" s="172" t="s">
        <v>88</v>
      </c>
      <c r="D67" s="168" t="s">
        <v>1205</v>
      </c>
      <c r="E67" s="169">
        <v>16165</v>
      </c>
    </row>
    <row r="68" spans="1:5" x14ac:dyDescent="0.25">
      <c r="A68" s="173">
        <v>2019</v>
      </c>
      <c r="B68" s="168" t="s">
        <v>89</v>
      </c>
      <c r="C68" s="172" t="s">
        <v>89</v>
      </c>
      <c r="D68" s="168" t="s">
        <v>1206</v>
      </c>
      <c r="E68" s="169">
        <v>4807</v>
      </c>
    </row>
    <row r="69" spans="1:5" x14ac:dyDescent="0.25">
      <c r="A69" s="173">
        <v>2019</v>
      </c>
      <c r="B69" s="168" t="s">
        <v>90</v>
      </c>
      <c r="C69" s="172" t="s">
        <v>90</v>
      </c>
      <c r="D69" s="168" t="s">
        <v>1207</v>
      </c>
      <c r="E69" s="169">
        <v>45289</v>
      </c>
    </row>
    <row r="70" spans="1:5" x14ac:dyDescent="0.25">
      <c r="A70" s="173">
        <v>2019</v>
      </c>
      <c r="B70" s="168" t="s">
        <v>91</v>
      </c>
      <c r="C70" s="172" t="s">
        <v>91</v>
      </c>
      <c r="D70" s="168" t="s">
        <v>1208</v>
      </c>
      <c r="E70" s="169">
        <v>6521</v>
      </c>
    </row>
    <row r="71" spans="1:5" x14ac:dyDescent="0.25">
      <c r="A71" s="173">
        <v>2019</v>
      </c>
      <c r="B71" s="168" t="s">
        <v>92</v>
      </c>
      <c r="C71" s="172" t="s">
        <v>92</v>
      </c>
      <c r="D71" s="168" t="s">
        <v>1209</v>
      </c>
      <c r="E71" s="169">
        <v>30038</v>
      </c>
    </row>
    <row r="72" spans="1:5" x14ac:dyDescent="0.25">
      <c r="A72" s="173">
        <v>2019</v>
      </c>
      <c r="B72" s="168" t="s">
        <v>93</v>
      </c>
      <c r="C72" s="172" t="s">
        <v>93</v>
      </c>
      <c r="D72" s="168" t="s">
        <v>1210</v>
      </c>
      <c r="E72" s="169">
        <v>5218</v>
      </c>
    </row>
    <row r="73" spans="1:5" x14ac:dyDescent="0.25">
      <c r="A73" s="173">
        <v>2019</v>
      </c>
      <c r="B73" s="168" t="s">
        <v>94</v>
      </c>
      <c r="C73" s="172" t="s">
        <v>94</v>
      </c>
      <c r="D73" s="168" t="s">
        <v>1211</v>
      </c>
      <c r="E73" s="169">
        <v>3463</v>
      </c>
    </row>
    <row r="74" spans="1:5" x14ac:dyDescent="0.25">
      <c r="A74" s="173">
        <v>2019</v>
      </c>
      <c r="B74" s="168" t="s">
        <v>95</v>
      </c>
      <c r="C74" s="172" t="s">
        <v>95</v>
      </c>
      <c r="D74" s="168" t="s">
        <v>1212</v>
      </c>
      <c r="E74" s="169">
        <v>551</v>
      </c>
    </row>
    <row r="75" spans="1:5" x14ac:dyDescent="0.25">
      <c r="A75" s="173">
        <v>2019</v>
      </c>
      <c r="B75" s="168" t="s">
        <v>96</v>
      </c>
      <c r="C75" s="172" t="s">
        <v>96</v>
      </c>
      <c r="D75" s="168" t="s">
        <v>1213</v>
      </c>
      <c r="E75" s="169">
        <v>2414</v>
      </c>
    </row>
    <row r="76" spans="1:5" x14ac:dyDescent="0.25">
      <c r="A76" s="173">
        <v>2019</v>
      </c>
      <c r="B76" s="168" t="s">
        <v>97</v>
      </c>
      <c r="C76" s="172" t="s">
        <v>97</v>
      </c>
      <c r="D76" s="168" t="s">
        <v>1214</v>
      </c>
      <c r="E76" s="169">
        <v>4688</v>
      </c>
    </row>
    <row r="77" spans="1:5" x14ac:dyDescent="0.25">
      <c r="A77" s="173">
        <v>2019</v>
      </c>
      <c r="B77" s="168" t="s">
        <v>98</v>
      </c>
      <c r="C77" s="172" t="s">
        <v>98</v>
      </c>
      <c r="D77" s="168" t="s">
        <v>1215</v>
      </c>
      <c r="E77" s="169">
        <v>39310</v>
      </c>
    </row>
    <row r="78" spans="1:5" x14ac:dyDescent="0.25">
      <c r="A78" s="173">
        <v>2019</v>
      </c>
      <c r="B78" s="168" t="s">
        <v>99</v>
      </c>
      <c r="C78" s="172" t="s">
        <v>99</v>
      </c>
      <c r="D78" s="168" t="s">
        <v>1216</v>
      </c>
      <c r="E78" s="169">
        <v>6672</v>
      </c>
    </row>
    <row r="79" spans="1:5" x14ac:dyDescent="0.25">
      <c r="A79" s="173">
        <v>2019</v>
      </c>
      <c r="B79" s="168" t="s">
        <v>100</v>
      </c>
      <c r="C79" s="172" t="s">
        <v>100</v>
      </c>
      <c r="D79" s="168" t="s">
        <v>1217</v>
      </c>
      <c r="E79" s="169">
        <v>14869</v>
      </c>
    </row>
    <row r="80" spans="1:5" x14ac:dyDescent="0.25">
      <c r="A80" s="173">
        <v>2019</v>
      </c>
      <c r="B80" s="168" t="s">
        <v>101</v>
      </c>
      <c r="C80" s="172" t="s">
        <v>101</v>
      </c>
      <c r="D80" s="168" t="s">
        <v>1218</v>
      </c>
      <c r="E80" s="169">
        <v>3200</v>
      </c>
    </row>
    <row r="81" spans="1:5" x14ac:dyDescent="0.25">
      <c r="A81" s="173">
        <v>2019</v>
      </c>
      <c r="B81" s="168" t="s">
        <v>102</v>
      </c>
      <c r="C81" s="172" t="s">
        <v>102</v>
      </c>
      <c r="D81" s="168" t="s">
        <v>1219</v>
      </c>
      <c r="E81" s="169">
        <v>25755</v>
      </c>
    </row>
    <row r="82" spans="1:5" x14ac:dyDescent="0.25">
      <c r="A82" s="173">
        <v>2019</v>
      </c>
      <c r="B82" s="168" t="s">
        <v>103</v>
      </c>
      <c r="C82" s="172" t="s">
        <v>103</v>
      </c>
      <c r="D82" s="168" t="s">
        <v>1220</v>
      </c>
      <c r="E82" s="169">
        <v>4465</v>
      </c>
    </row>
    <row r="83" spans="1:5" x14ac:dyDescent="0.25">
      <c r="A83" s="173">
        <v>2019</v>
      </c>
      <c r="B83" s="168" t="s">
        <v>104</v>
      </c>
      <c r="C83" s="172" t="s">
        <v>104</v>
      </c>
      <c r="D83" s="168" t="s">
        <v>1221</v>
      </c>
      <c r="E83" s="169">
        <v>6109</v>
      </c>
    </row>
    <row r="84" spans="1:5" x14ac:dyDescent="0.25">
      <c r="A84" s="173">
        <v>2019</v>
      </c>
      <c r="B84" s="168" t="s">
        <v>105</v>
      </c>
      <c r="C84" s="172" t="s">
        <v>105</v>
      </c>
      <c r="D84" s="168" t="s">
        <v>1222</v>
      </c>
      <c r="E84" s="169">
        <v>1420</v>
      </c>
    </row>
    <row r="85" spans="1:5" x14ac:dyDescent="0.25">
      <c r="A85" s="173">
        <v>2019</v>
      </c>
      <c r="B85" s="168" t="s">
        <v>106</v>
      </c>
      <c r="C85" s="172" t="s">
        <v>106</v>
      </c>
      <c r="D85" s="168" t="s">
        <v>1223</v>
      </c>
      <c r="E85" s="169">
        <v>0</v>
      </c>
    </row>
    <row r="86" spans="1:5" x14ac:dyDescent="0.25">
      <c r="A86" s="173">
        <v>2019</v>
      </c>
      <c r="B86" s="168" t="s">
        <v>107</v>
      </c>
      <c r="C86" s="172" t="s">
        <v>107</v>
      </c>
      <c r="D86" s="168" t="s">
        <v>1224</v>
      </c>
      <c r="E86" s="169">
        <v>0</v>
      </c>
    </row>
    <row r="87" spans="1:5" x14ac:dyDescent="0.25">
      <c r="A87" s="173">
        <v>2019</v>
      </c>
      <c r="B87" s="168" t="s">
        <v>108</v>
      </c>
      <c r="C87" s="172" t="s">
        <v>108</v>
      </c>
      <c r="D87" s="168" t="s">
        <v>1225</v>
      </c>
      <c r="E87" s="169">
        <v>0</v>
      </c>
    </row>
    <row r="88" spans="1:5" x14ac:dyDescent="0.25">
      <c r="A88" s="173">
        <v>2019</v>
      </c>
      <c r="B88" s="168" t="s">
        <v>109</v>
      </c>
      <c r="C88" s="172" t="s">
        <v>109</v>
      </c>
      <c r="D88" s="168" t="s">
        <v>1226</v>
      </c>
      <c r="E88" s="169">
        <v>2019</v>
      </c>
    </row>
    <row r="89" spans="1:5" x14ac:dyDescent="0.25">
      <c r="A89" s="173">
        <v>2019</v>
      </c>
      <c r="B89" s="168" t="s">
        <v>110</v>
      </c>
      <c r="C89" s="172" t="s">
        <v>110</v>
      </c>
      <c r="D89" s="168" t="s">
        <v>1227</v>
      </c>
      <c r="E89" s="169">
        <v>1836</v>
      </c>
    </row>
    <row r="90" spans="1:5" x14ac:dyDescent="0.25">
      <c r="A90" s="173">
        <v>2019</v>
      </c>
      <c r="B90" s="168" t="s">
        <v>111</v>
      </c>
      <c r="C90" s="172" t="s">
        <v>111</v>
      </c>
      <c r="D90" s="168" t="s">
        <v>1228</v>
      </c>
      <c r="E90" s="169">
        <v>76920</v>
      </c>
    </row>
    <row r="91" spans="1:5" x14ac:dyDescent="0.25">
      <c r="A91" s="173">
        <v>2019</v>
      </c>
      <c r="B91" s="168" t="s">
        <v>112</v>
      </c>
      <c r="C91" s="172" t="s">
        <v>112</v>
      </c>
      <c r="D91" s="168" t="s">
        <v>1229</v>
      </c>
      <c r="E91" s="169">
        <v>3324</v>
      </c>
    </row>
    <row r="92" spans="1:5" x14ac:dyDescent="0.25">
      <c r="A92" s="173">
        <v>2019</v>
      </c>
      <c r="B92" s="168" t="s">
        <v>114</v>
      </c>
      <c r="C92" s="172" t="s">
        <v>114</v>
      </c>
      <c r="D92" s="168" t="s">
        <v>1230</v>
      </c>
      <c r="E92" s="169">
        <v>4182</v>
      </c>
    </row>
    <row r="93" spans="1:5" x14ac:dyDescent="0.25">
      <c r="A93" s="173">
        <v>2019</v>
      </c>
      <c r="B93" s="168" t="s">
        <v>116</v>
      </c>
      <c r="C93" s="172" t="s">
        <v>116</v>
      </c>
      <c r="D93" s="168" t="s">
        <v>1231</v>
      </c>
      <c r="E93" s="169">
        <v>6002</v>
      </c>
    </row>
    <row r="94" spans="1:5" x14ac:dyDescent="0.25">
      <c r="A94" s="173">
        <v>2019</v>
      </c>
      <c r="B94" s="168" t="s">
        <v>117</v>
      </c>
      <c r="C94" s="172" t="s">
        <v>117</v>
      </c>
      <c r="D94" s="168" t="s">
        <v>1232</v>
      </c>
      <c r="E94" s="169">
        <v>3794</v>
      </c>
    </row>
    <row r="95" spans="1:5" x14ac:dyDescent="0.25">
      <c r="A95" s="173">
        <v>2019</v>
      </c>
      <c r="B95" s="168" t="s">
        <v>118</v>
      </c>
      <c r="C95" s="172" t="s">
        <v>118</v>
      </c>
      <c r="D95" s="168" t="s">
        <v>1233</v>
      </c>
      <c r="E95" s="169">
        <v>1552</v>
      </c>
    </row>
    <row r="96" spans="1:5" x14ac:dyDescent="0.25">
      <c r="A96" s="173">
        <v>2019</v>
      </c>
      <c r="B96" s="168" t="s">
        <v>183</v>
      </c>
      <c r="C96" s="172" t="s">
        <v>701</v>
      </c>
      <c r="D96" s="168" t="s">
        <v>1234</v>
      </c>
      <c r="E96" s="169">
        <v>1674</v>
      </c>
    </row>
    <row r="97" spans="1:5" x14ac:dyDescent="0.25">
      <c r="A97" s="173">
        <v>2019</v>
      </c>
      <c r="B97" s="168" t="s">
        <v>196</v>
      </c>
      <c r="C97" s="172" t="s">
        <v>196</v>
      </c>
      <c r="D97" s="168" t="s">
        <v>1235</v>
      </c>
      <c r="E97" s="169">
        <v>10088</v>
      </c>
    </row>
    <row r="98" spans="1:5" x14ac:dyDescent="0.25">
      <c r="A98" s="173">
        <v>2019</v>
      </c>
      <c r="B98" s="168" t="s">
        <v>322</v>
      </c>
      <c r="C98" s="172" t="s">
        <v>322</v>
      </c>
      <c r="D98" s="168" t="s">
        <v>1236</v>
      </c>
      <c r="E98" s="169">
        <v>0</v>
      </c>
    </row>
    <row r="99" spans="1:5" x14ac:dyDescent="0.25">
      <c r="A99" s="173">
        <v>2019</v>
      </c>
      <c r="B99" s="168" t="s">
        <v>120</v>
      </c>
      <c r="C99" s="172" t="s">
        <v>120</v>
      </c>
      <c r="D99" s="168" t="s">
        <v>1237</v>
      </c>
      <c r="E99" s="169">
        <v>3725</v>
      </c>
    </row>
    <row r="100" spans="1:5" x14ac:dyDescent="0.25">
      <c r="A100" s="173">
        <v>2019</v>
      </c>
      <c r="B100" s="168" t="s">
        <v>121</v>
      </c>
      <c r="C100" s="172" t="s">
        <v>121</v>
      </c>
      <c r="D100" s="168" t="s">
        <v>1238</v>
      </c>
      <c r="E100" s="169">
        <v>2317</v>
      </c>
    </row>
    <row r="101" spans="1:5" x14ac:dyDescent="0.25">
      <c r="A101" s="173">
        <v>2019</v>
      </c>
      <c r="B101" s="168" t="s">
        <v>119</v>
      </c>
      <c r="C101" s="172" t="s">
        <v>119</v>
      </c>
      <c r="D101" s="168" t="s">
        <v>1239</v>
      </c>
      <c r="E101" s="169">
        <v>4377</v>
      </c>
    </row>
    <row r="102" spans="1:5" x14ac:dyDescent="0.25">
      <c r="A102" s="173">
        <v>2019</v>
      </c>
      <c r="B102" s="168" t="s">
        <v>54</v>
      </c>
      <c r="C102" s="172" t="s">
        <v>54</v>
      </c>
      <c r="D102" s="168" t="s">
        <v>1240</v>
      </c>
      <c r="E102" s="169">
        <v>0</v>
      </c>
    </row>
    <row r="103" spans="1:5" x14ac:dyDescent="0.25">
      <c r="A103" s="173">
        <v>2019</v>
      </c>
      <c r="B103" s="168" t="s">
        <v>123</v>
      </c>
      <c r="C103" s="172" t="s">
        <v>123</v>
      </c>
      <c r="D103" s="168" t="s">
        <v>1241</v>
      </c>
      <c r="E103" s="169">
        <v>82</v>
      </c>
    </row>
    <row r="104" spans="1:5" x14ac:dyDescent="0.25">
      <c r="A104" s="173">
        <v>2019</v>
      </c>
      <c r="B104" s="168" t="s">
        <v>124</v>
      </c>
      <c r="C104" s="172" t="s">
        <v>124</v>
      </c>
      <c r="D104" s="168" t="s">
        <v>1242</v>
      </c>
      <c r="E104" s="169">
        <v>4896</v>
      </c>
    </row>
    <row r="105" spans="1:5" x14ac:dyDescent="0.25">
      <c r="A105" s="173">
        <v>2019</v>
      </c>
      <c r="B105" s="168" t="s">
        <v>125</v>
      </c>
      <c r="C105" s="172" t="s">
        <v>125</v>
      </c>
      <c r="D105" s="168" t="s">
        <v>1243</v>
      </c>
      <c r="E105" s="169">
        <v>0</v>
      </c>
    </row>
    <row r="106" spans="1:5" x14ac:dyDescent="0.25">
      <c r="A106" s="173">
        <v>2019</v>
      </c>
      <c r="B106" s="168" t="s">
        <v>126</v>
      </c>
      <c r="C106" s="172" t="s">
        <v>126</v>
      </c>
      <c r="D106" s="168" t="s">
        <v>1244</v>
      </c>
      <c r="E106" s="169">
        <v>2256</v>
      </c>
    </row>
    <row r="107" spans="1:5" x14ac:dyDescent="0.25">
      <c r="A107" s="173">
        <v>2019</v>
      </c>
      <c r="B107" s="168" t="s">
        <v>127</v>
      </c>
      <c r="C107" s="172" t="s">
        <v>127</v>
      </c>
      <c r="D107" s="168" t="s">
        <v>1245</v>
      </c>
      <c r="E107" s="169">
        <v>3258</v>
      </c>
    </row>
    <row r="108" spans="1:5" x14ac:dyDescent="0.25">
      <c r="A108" s="173">
        <v>2019</v>
      </c>
      <c r="B108" s="168" t="s">
        <v>128</v>
      </c>
      <c r="C108" s="172" t="s">
        <v>128</v>
      </c>
      <c r="D108" s="168" t="s">
        <v>1246</v>
      </c>
      <c r="E108" s="169">
        <v>8956</v>
      </c>
    </row>
    <row r="109" spans="1:5" x14ac:dyDescent="0.25">
      <c r="A109" s="173">
        <v>2019</v>
      </c>
      <c r="B109" s="168" t="s">
        <v>129</v>
      </c>
      <c r="C109" s="172" t="s">
        <v>129</v>
      </c>
      <c r="D109" s="168" t="s">
        <v>1247</v>
      </c>
      <c r="E109" s="169">
        <v>0</v>
      </c>
    </row>
    <row r="110" spans="1:5" x14ac:dyDescent="0.25">
      <c r="A110" s="173">
        <v>2019</v>
      </c>
      <c r="B110" s="168" t="s">
        <v>130</v>
      </c>
      <c r="C110" s="172" t="s">
        <v>130</v>
      </c>
      <c r="D110" s="168" t="s">
        <v>1248</v>
      </c>
      <c r="E110" s="169">
        <v>11223</v>
      </c>
    </row>
    <row r="111" spans="1:5" x14ac:dyDescent="0.25">
      <c r="A111" s="173">
        <v>2019</v>
      </c>
      <c r="B111" s="168" t="s">
        <v>131</v>
      </c>
      <c r="C111" s="172" t="s">
        <v>131</v>
      </c>
      <c r="D111" s="168" t="s">
        <v>1249</v>
      </c>
      <c r="E111" s="169">
        <v>10909</v>
      </c>
    </row>
    <row r="112" spans="1:5" x14ac:dyDescent="0.25">
      <c r="A112" s="173">
        <v>2019</v>
      </c>
      <c r="B112" s="168" t="s">
        <v>132</v>
      </c>
      <c r="C112" s="172" t="s">
        <v>132</v>
      </c>
      <c r="D112" s="168" t="s">
        <v>1250</v>
      </c>
      <c r="E112" s="169">
        <v>0</v>
      </c>
    </row>
    <row r="113" spans="1:5" x14ac:dyDescent="0.25">
      <c r="A113" s="173">
        <v>2019</v>
      </c>
      <c r="B113" s="168" t="s">
        <v>133</v>
      </c>
      <c r="C113" s="172" t="s">
        <v>133</v>
      </c>
      <c r="D113" s="168" t="s">
        <v>1251</v>
      </c>
      <c r="E113" s="169">
        <v>7287</v>
      </c>
    </row>
    <row r="114" spans="1:5" x14ac:dyDescent="0.25">
      <c r="A114" s="173">
        <v>2019</v>
      </c>
      <c r="B114" s="168" t="s">
        <v>134</v>
      </c>
      <c r="C114" s="172" t="s">
        <v>134</v>
      </c>
      <c r="D114" s="168" t="s">
        <v>1252</v>
      </c>
      <c r="E114" s="169">
        <v>159</v>
      </c>
    </row>
    <row r="115" spans="1:5" x14ac:dyDescent="0.25">
      <c r="A115" s="173">
        <v>2019</v>
      </c>
      <c r="B115" s="168" t="s">
        <v>135</v>
      </c>
      <c r="C115" s="172" t="s">
        <v>135</v>
      </c>
      <c r="D115" s="168" t="s">
        <v>1253</v>
      </c>
      <c r="E115" s="169">
        <v>454</v>
      </c>
    </row>
    <row r="116" spans="1:5" x14ac:dyDescent="0.25">
      <c r="A116" s="173">
        <v>2019</v>
      </c>
      <c r="B116" s="168" t="s">
        <v>136</v>
      </c>
      <c r="C116" s="172" t="s">
        <v>136</v>
      </c>
      <c r="D116" s="168" t="s">
        <v>1254</v>
      </c>
      <c r="E116" s="169">
        <v>4347</v>
      </c>
    </row>
    <row r="117" spans="1:5" x14ac:dyDescent="0.25">
      <c r="A117" s="173">
        <v>2019</v>
      </c>
      <c r="B117" s="168" t="s">
        <v>137</v>
      </c>
      <c r="C117" s="172" t="s">
        <v>137</v>
      </c>
      <c r="D117" s="168" t="s">
        <v>1255</v>
      </c>
      <c r="E117" s="169">
        <v>695</v>
      </c>
    </row>
    <row r="118" spans="1:5" x14ac:dyDescent="0.25">
      <c r="A118" s="173">
        <v>2019</v>
      </c>
      <c r="B118" s="168" t="s">
        <v>138</v>
      </c>
      <c r="C118" s="172" t="s">
        <v>138</v>
      </c>
      <c r="D118" s="168" t="s">
        <v>1256</v>
      </c>
      <c r="E118" s="169">
        <v>9701</v>
      </c>
    </row>
    <row r="119" spans="1:5" x14ac:dyDescent="0.25">
      <c r="A119" s="173">
        <v>2019</v>
      </c>
      <c r="B119" s="168" t="s">
        <v>139</v>
      </c>
      <c r="C119" s="172" t="s">
        <v>139</v>
      </c>
      <c r="D119" s="168" t="s">
        <v>1257</v>
      </c>
      <c r="E119" s="169">
        <v>642</v>
      </c>
    </row>
    <row r="120" spans="1:5" x14ac:dyDescent="0.25">
      <c r="A120" s="173">
        <v>2019</v>
      </c>
      <c r="B120" s="168" t="s">
        <v>140</v>
      </c>
      <c r="C120" s="172" t="s">
        <v>140</v>
      </c>
      <c r="D120" s="168" t="s">
        <v>1258</v>
      </c>
      <c r="E120" s="169">
        <v>9</v>
      </c>
    </row>
    <row r="121" spans="1:5" x14ac:dyDescent="0.25">
      <c r="A121" s="173">
        <v>2019</v>
      </c>
      <c r="B121" s="168" t="s">
        <v>141</v>
      </c>
      <c r="C121" s="172" t="s">
        <v>141</v>
      </c>
      <c r="D121" s="168" t="s">
        <v>1259</v>
      </c>
      <c r="E121" s="169">
        <v>13310</v>
      </c>
    </row>
    <row r="122" spans="1:5" x14ac:dyDescent="0.25">
      <c r="A122" s="173">
        <v>2019</v>
      </c>
      <c r="B122" s="168" t="s">
        <v>142</v>
      </c>
      <c r="C122" s="172" t="s">
        <v>142</v>
      </c>
      <c r="D122" s="168" t="s">
        <v>1260</v>
      </c>
      <c r="E122" s="169">
        <v>3017</v>
      </c>
    </row>
    <row r="123" spans="1:5" x14ac:dyDescent="0.25">
      <c r="A123" s="173">
        <v>2019</v>
      </c>
      <c r="B123" s="168" t="s">
        <v>145</v>
      </c>
      <c r="C123" s="172" t="s">
        <v>145</v>
      </c>
      <c r="D123" s="168" t="s">
        <v>4</v>
      </c>
      <c r="E123" s="169">
        <v>2065</v>
      </c>
    </row>
    <row r="124" spans="1:5" x14ac:dyDescent="0.25">
      <c r="A124" s="173">
        <v>2019</v>
      </c>
      <c r="B124" s="168" t="s">
        <v>143</v>
      </c>
      <c r="C124" s="172" t="s">
        <v>143</v>
      </c>
      <c r="D124" s="168" t="s">
        <v>1261</v>
      </c>
      <c r="E124" s="169">
        <v>2421</v>
      </c>
    </row>
    <row r="125" spans="1:5" x14ac:dyDescent="0.25">
      <c r="A125" s="173">
        <v>2019</v>
      </c>
      <c r="B125" s="168" t="s">
        <v>172</v>
      </c>
      <c r="C125" s="172" t="s">
        <v>172</v>
      </c>
      <c r="D125" s="168" t="s">
        <v>1262</v>
      </c>
      <c r="E125" s="169">
        <v>6980</v>
      </c>
    </row>
    <row r="126" spans="1:5" x14ac:dyDescent="0.25">
      <c r="A126" s="173">
        <v>2019</v>
      </c>
      <c r="B126" s="168" t="s">
        <v>146</v>
      </c>
      <c r="C126" s="172" t="s">
        <v>146</v>
      </c>
      <c r="D126" s="168" t="s">
        <v>1263</v>
      </c>
      <c r="E126" s="169">
        <v>4353</v>
      </c>
    </row>
    <row r="127" spans="1:5" x14ac:dyDescent="0.25">
      <c r="A127" s="173">
        <v>2019</v>
      </c>
      <c r="B127" s="168" t="s">
        <v>147</v>
      </c>
      <c r="C127" s="172" t="s">
        <v>147</v>
      </c>
      <c r="D127" s="168" t="s">
        <v>1264</v>
      </c>
      <c r="E127" s="169">
        <v>4547</v>
      </c>
    </row>
    <row r="128" spans="1:5" x14ac:dyDescent="0.25">
      <c r="A128" s="173">
        <v>2019</v>
      </c>
      <c r="B128" s="168" t="s">
        <v>148</v>
      </c>
      <c r="C128" s="172" t="s">
        <v>148</v>
      </c>
      <c r="D128" s="168" t="s">
        <v>1265</v>
      </c>
      <c r="E128" s="169">
        <v>2111</v>
      </c>
    </row>
    <row r="129" spans="1:5" x14ac:dyDescent="0.25">
      <c r="A129" s="173">
        <v>2019</v>
      </c>
      <c r="B129" s="168" t="s">
        <v>149</v>
      </c>
      <c r="C129" s="172" t="s">
        <v>149</v>
      </c>
      <c r="D129" s="168" t="s">
        <v>1266</v>
      </c>
      <c r="E129" s="169">
        <v>334</v>
      </c>
    </row>
    <row r="130" spans="1:5" x14ac:dyDescent="0.25">
      <c r="A130" s="173">
        <v>2019</v>
      </c>
      <c r="B130" s="168" t="s">
        <v>152</v>
      </c>
      <c r="C130" s="172" t="s">
        <v>152</v>
      </c>
      <c r="D130" s="168" t="s">
        <v>1267</v>
      </c>
      <c r="E130" s="169">
        <v>1247</v>
      </c>
    </row>
    <row r="131" spans="1:5" x14ac:dyDescent="0.25">
      <c r="A131" s="173">
        <v>2019</v>
      </c>
      <c r="B131" s="168" t="s">
        <v>153</v>
      </c>
      <c r="C131" s="172" t="s">
        <v>153</v>
      </c>
      <c r="D131" s="168" t="s">
        <v>1268</v>
      </c>
      <c r="E131" s="169">
        <v>59</v>
      </c>
    </row>
    <row r="132" spans="1:5" x14ac:dyDescent="0.25">
      <c r="A132" s="173">
        <v>2019</v>
      </c>
      <c r="B132" s="168" t="s">
        <v>154</v>
      </c>
      <c r="C132" s="172" t="s">
        <v>154</v>
      </c>
      <c r="D132" s="168" t="s">
        <v>1269</v>
      </c>
      <c r="E132" s="169">
        <v>4290</v>
      </c>
    </row>
    <row r="133" spans="1:5" x14ac:dyDescent="0.25">
      <c r="A133" s="173">
        <v>2019</v>
      </c>
      <c r="B133" s="168" t="s">
        <v>155</v>
      </c>
      <c r="C133" s="172" t="s">
        <v>155</v>
      </c>
      <c r="D133" s="168" t="s">
        <v>1270</v>
      </c>
      <c r="E133" s="169">
        <v>2084</v>
      </c>
    </row>
    <row r="134" spans="1:5" x14ac:dyDescent="0.25">
      <c r="A134" s="173">
        <v>2019</v>
      </c>
      <c r="B134" s="168" t="s">
        <v>156</v>
      </c>
      <c r="C134" s="172" t="s">
        <v>156</v>
      </c>
      <c r="D134" s="168" t="s">
        <v>1271</v>
      </c>
      <c r="E134" s="169">
        <v>432</v>
      </c>
    </row>
    <row r="135" spans="1:5" x14ac:dyDescent="0.25">
      <c r="A135" s="173">
        <v>2019</v>
      </c>
      <c r="B135" s="168" t="s">
        <v>157</v>
      </c>
      <c r="C135" s="172" t="s">
        <v>157</v>
      </c>
      <c r="D135" s="168" t="s">
        <v>1272</v>
      </c>
      <c r="E135" s="169">
        <v>3353</v>
      </c>
    </row>
    <row r="136" spans="1:5" x14ac:dyDescent="0.25">
      <c r="A136" s="173">
        <v>2019</v>
      </c>
      <c r="B136" s="168" t="s">
        <v>158</v>
      </c>
      <c r="C136" s="172" t="s">
        <v>158</v>
      </c>
      <c r="D136" s="168" t="s">
        <v>1273</v>
      </c>
      <c r="E136" s="169">
        <v>8311</v>
      </c>
    </row>
    <row r="137" spans="1:5" x14ac:dyDescent="0.25">
      <c r="A137" s="173">
        <v>2019</v>
      </c>
      <c r="B137" s="168" t="s">
        <v>159</v>
      </c>
      <c r="C137" s="172" t="s">
        <v>159</v>
      </c>
      <c r="D137" s="168" t="s">
        <v>1274</v>
      </c>
      <c r="E137" s="169">
        <v>1884</v>
      </c>
    </row>
    <row r="138" spans="1:5" x14ac:dyDescent="0.25">
      <c r="A138" s="173">
        <v>2019</v>
      </c>
      <c r="B138" s="168" t="s">
        <v>151</v>
      </c>
      <c r="C138" s="172" t="s">
        <v>151</v>
      </c>
      <c r="D138" s="168" t="s">
        <v>5</v>
      </c>
      <c r="E138" s="169">
        <v>2654</v>
      </c>
    </row>
    <row r="139" spans="1:5" x14ac:dyDescent="0.25">
      <c r="A139" s="173">
        <v>2019</v>
      </c>
      <c r="B139" s="168" t="s">
        <v>160</v>
      </c>
      <c r="C139" s="172" t="s">
        <v>160</v>
      </c>
      <c r="D139" s="168" t="s">
        <v>1275</v>
      </c>
      <c r="E139" s="169">
        <v>7375</v>
      </c>
    </row>
    <row r="140" spans="1:5" x14ac:dyDescent="0.25">
      <c r="A140" s="173">
        <v>2019</v>
      </c>
      <c r="B140" s="168" t="s">
        <v>161</v>
      </c>
      <c r="C140" s="172" t="s">
        <v>161</v>
      </c>
      <c r="D140" s="168" t="s">
        <v>1276</v>
      </c>
      <c r="E140" s="169">
        <v>2710</v>
      </c>
    </row>
    <row r="141" spans="1:5" x14ac:dyDescent="0.25">
      <c r="A141" s="173">
        <v>2019</v>
      </c>
      <c r="B141" s="168" t="s">
        <v>162</v>
      </c>
      <c r="C141" s="172" t="s">
        <v>162</v>
      </c>
      <c r="D141" s="168" t="s">
        <v>1277</v>
      </c>
      <c r="E141" s="169">
        <v>3229</v>
      </c>
    </row>
    <row r="142" spans="1:5" x14ac:dyDescent="0.25">
      <c r="A142" s="173">
        <v>2019</v>
      </c>
      <c r="B142" s="168" t="s">
        <v>163</v>
      </c>
      <c r="C142" s="172" t="s">
        <v>163</v>
      </c>
      <c r="D142" s="168" t="s">
        <v>1278</v>
      </c>
      <c r="E142" s="169">
        <v>7568</v>
      </c>
    </row>
    <row r="143" spans="1:5" x14ac:dyDescent="0.25">
      <c r="A143" s="173">
        <v>2019</v>
      </c>
      <c r="B143" s="168" t="s">
        <v>170</v>
      </c>
      <c r="C143" s="172" t="s">
        <v>170</v>
      </c>
      <c r="D143" s="168" t="s">
        <v>1279</v>
      </c>
      <c r="E143" s="169">
        <v>2875</v>
      </c>
    </row>
    <row r="144" spans="1:5" x14ac:dyDescent="0.25">
      <c r="A144" s="173">
        <v>2019</v>
      </c>
      <c r="B144" s="168" t="s">
        <v>164</v>
      </c>
      <c r="C144" s="172" t="s">
        <v>164</v>
      </c>
      <c r="D144" s="168" t="s">
        <v>1280</v>
      </c>
      <c r="E144" s="169">
        <v>4623</v>
      </c>
    </row>
    <row r="145" spans="1:5" x14ac:dyDescent="0.25">
      <c r="A145" s="173">
        <v>2019</v>
      </c>
      <c r="B145" s="168" t="s">
        <v>165</v>
      </c>
      <c r="C145" s="172" t="s">
        <v>165</v>
      </c>
      <c r="D145" s="168" t="s">
        <v>1281</v>
      </c>
      <c r="E145" s="169">
        <v>9356</v>
      </c>
    </row>
    <row r="146" spans="1:5" x14ac:dyDescent="0.25">
      <c r="A146" s="173">
        <v>2019</v>
      </c>
      <c r="B146" s="168" t="s">
        <v>166</v>
      </c>
      <c r="C146" s="172" t="s">
        <v>166</v>
      </c>
      <c r="D146" s="168" t="s">
        <v>1282</v>
      </c>
      <c r="E146" s="169">
        <v>7246</v>
      </c>
    </row>
    <row r="147" spans="1:5" x14ac:dyDescent="0.25">
      <c r="A147" s="173">
        <v>2019</v>
      </c>
      <c r="B147" s="168" t="s">
        <v>167</v>
      </c>
      <c r="C147" s="172" t="s">
        <v>167</v>
      </c>
      <c r="D147" s="168" t="s">
        <v>1283</v>
      </c>
      <c r="E147" s="169">
        <v>122685</v>
      </c>
    </row>
    <row r="148" spans="1:5" x14ac:dyDescent="0.25">
      <c r="A148" s="173">
        <v>2019</v>
      </c>
      <c r="B148" s="168" t="s">
        <v>168</v>
      </c>
      <c r="C148" s="172" t="s">
        <v>168</v>
      </c>
      <c r="D148" s="168" t="s">
        <v>1284</v>
      </c>
      <c r="E148" s="169">
        <v>7416</v>
      </c>
    </row>
    <row r="149" spans="1:5" x14ac:dyDescent="0.25">
      <c r="A149" s="173">
        <v>2019</v>
      </c>
      <c r="B149" s="168" t="s">
        <v>169</v>
      </c>
      <c r="C149" s="172" t="s">
        <v>169</v>
      </c>
      <c r="D149" s="168" t="s">
        <v>1285</v>
      </c>
      <c r="E149" s="169">
        <v>366</v>
      </c>
    </row>
    <row r="150" spans="1:5" x14ac:dyDescent="0.25">
      <c r="A150" s="173">
        <v>2019</v>
      </c>
      <c r="B150" s="168" t="s">
        <v>171</v>
      </c>
      <c r="C150" s="172" t="s">
        <v>171</v>
      </c>
      <c r="D150" s="168" t="s">
        <v>1286</v>
      </c>
      <c r="E150" s="169">
        <v>824</v>
      </c>
    </row>
    <row r="151" spans="1:5" x14ac:dyDescent="0.25">
      <c r="A151" s="173">
        <v>2019</v>
      </c>
      <c r="B151" s="168" t="s">
        <v>173</v>
      </c>
      <c r="C151" s="172" t="s">
        <v>173</v>
      </c>
      <c r="D151" s="168" t="s">
        <v>1287</v>
      </c>
      <c r="E151" s="169">
        <v>2726</v>
      </c>
    </row>
    <row r="152" spans="1:5" x14ac:dyDescent="0.25">
      <c r="A152" s="173">
        <v>2019</v>
      </c>
      <c r="B152" s="168" t="s">
        <v>174</v>
      </c>
      <c r="C152" s="172" t="s">
        <v>174</v>
      </c>
      <c r="D152" s="168" t="s">
        <v>1288</v>
      </c>
      <c r="E152" s="169">
        <v>42349</v>
      </c>
    </row>
    <row r="153" spans="1:5" x14ac:dyDescent="0.25">
      <c r="A153" s="173">
        <v>2019</v>
      </c>
      <c r="B153" s="168" t="s">
        <v>175</v>
      </c>
      <c r="C153" s="172" t="s">
        <v>175</v>
      </c>
      <c r="D153" s="168" t="s">
        <v>1289</v>
      </c>
      <c r="E153" s="169">
        <v>3707</v>
      </c>
    </row>
    <row r="154" spans="1:5" x14ac:dyDescent="0.25">
      <c r="A154" s="173">
        <v>2019</v>
      </c>
      <c r="B154" s="168" t="s">
        <v>176</v>
      </c>
      <c r="C154" s="172" t="s">
        <v>176</v>
      </c>
      <c r="D154" s="168" t="s">
        <v>1290</v>
      </c>
      <c r="E154" s="169">
        <v>2966</v>
      </c>
    </row>
    <row r="155" spans="1:5" x14ac:dyDescent="0.25">
      <c r="A155" s="173">
        <v>2019</v>
      </c>
      <c r="B155" s="168" t="s">
        <v>177</v>
      </c>
      <c r="C155" s="172" t="s">
        <v>177</v>
      </c>
      <c r="D155" s="168" t="s">
        <v>1291</v>
      </c>
      <c r="E155" s="169">
        <v>727</v>
      </c>
    </row>
    <row r="156" spans="1:5" x14ac:dyDescent="0.25">
      <c r="A156" s="173">
        <v>2019</v>
      </c>
      <c r="B156" s="168" t="s">
        <v>178</v>
      </c>
      <c r="C156" s="172" t="s">
        <v>178</v>
      </c>
      <c r="D156" s="168" t="s">
        <v>1292</v>
      </c>
      <c r="E156" s="169">
        <v>9516</v>
      </c>
    </row>
    <row r="157" spans="1:5" x14ac:dyDescent="0.25">
      <c r="A157" s="173">
        <v>2019</v>
      </c>
      <c r="B157" s="168" t="s">
        <v>179</v>
      </c>
      <c r="C157" s="172" t="s">
        <v>179</v>
      </c>
      <c r="D157" s="168" t="s">
        <v>1293</v>
      </c>
      <c r="E157" s="169">
        <v>4925</v>
      </c>
    </row>
    <row r="158" spans="1:5" x14ac:dyDescent="0.25">
      <c r="A158" s="173">
        <v>2019</v>
      </c>
      <c r="B158" s="168" t="s">
        <v>180</v>
      </c>
      <c r="C158" s="172" t="s">
        <v>180</v>
      </c>
      <c r="D158" s="168" t="s">
        <v>1294</v>
      </c>
      <c r="E158" s="169">
        <v>1400</v>
      </c>
    </row>
    <row r="159" spans="1:5" x14ac:dyDescent="0.25">
      <c r="A159" s="173">
        <v>2019</v>
      </c>
      <c r="B159" s="168" t="s">
        <v>181</v>
      </c>
      <c r="C159" s="172" t="s">
        <v>181</v>
      </c>
      <c r="D159" s="168" t="s">
        <v>1295</v>
      </c>
      <c r="E159" s="169">
        <v>2539</v>
      </c>
    </row>
    <row r="160" spans="1:5" x14ac:dyDescent="0.25">
      <c r="A160" s="173">
        <v>2019</v>
      </c>
      <c r="B160" s="168" t="s">
        <v>182</v>
      </c>
      <c r="C160" s="172" t="s">
        <v>182</v>
      </c>
      <c r="D160" s="168" t="s">
        <v>1296</v>
      </c>
      <c r="E160" s="169">
        <v>862</v>
      </c>
    </row>
    <row r="161" spans="1:5" x14ac:dyDescent="0.25">
      <c r="A161" s="173">
        <v>2019</v>
      </c>
      <c r="B161" s="168" t="s">
        <v>184</v>
      </c>
      <c r="C161" s="172" t="s">
        <v>184</v>
      </c>
      <c r="D161" s="168" t="s">
        <v>1297</v>
      </c>
      <c r="E161" s="169">
        <v>0</v>
      </c>
    </row>
    <row r="162" spans="1:5" x14ac:dyDescent="0.25">
      <c r="A162" s="173">
        <v>2019</v>
      </c>
      <c r="B162" s="168" t="s">
        <v>185</v>
      </c>
      <c r="C162" s="172" t="s">
        <v>185</v>
      </c>
      <c r="D162" s="168" t="s">
        <v>1298</v>
      </c>
      <c r="E162" s="169">
        <v>2561</v>
      </c>
    </row>
    <row r="163" spans="1:5" x14ac:dyDescent="0.25">
      <c r="A163" s="173">
        <v>2019</v>
      </c>
      <c r="B163" s="168" t="s">
        <v>186</v>
      </c>
      <c r="C163" s="172" t="s">
        <v>186</v>
      </c>
      <c r="D163" s="168" t="s">
        <v>1299</v>
      </c>
      <c r="E163" s="169">
        <v>0</v>
      </c>
    </row>
    <row r="164" spans="1:5" x14ac:dyDescent="0.25">
      <c r="A164" s="173">
        <v>2019</v>
      </c>
      <c r="B164" s="168" t="s">
        <v>188</v>
      </c>
      <c r="C164" s="172" t="s">
        <v>188</v>
      </c>
      <c r="D164" s="168" t="s">
        <v>1300</v>
      </c>
      <c r="E164" s="169">
        <v>47274</v>
      </c>
    </row>
    <row r="165" spans="1:5" x14ac:dyDescent="0.25">
      <c r="A165" s="173">
        <v>2019</v>
      </c>
      <c r="B165" s="168" t="s">
        <v>189</v>
      </c>
      <c r="C165" s="172" t="s">
        <v>189</v>
      </c>
      <c r="D165" s="168" t="s">
        <v>1301</v>
      </c>
      <c r="E165" s="169">
        <v>2290</v>
      </c>
    </row>
    <row r="166" spans="1:5" x14ac:dyDescent="0.25">
      <c r="A166" s="173">
        <v>2019</v>
      </c>
      <c r="B166" s="168" t="s">
        <v>190</v>
      </c>
      <c r="C166" s="172" t="s">
        <v>190</v>
      </c>
      <c r="D166" s="168" t="s">
        <v>1302</v>
      </c>
      <c r="E166" s="169">
        <v>6840</v>
      </c>
    </row>
    <row r="167" spans="1:5" x14ac:dyDescent="0.25">
      <c r="A167" s="173">
        <v>2019</v>
      </c>
      <c r="B167" s="168" t="s">
        <v>191</v>
      </c>
      <c r="C167" s="172" t="s">
        <v>191</v>
      </c>
      <c r="D167" s="168" t="s">
        <v>1303</v>
      </c>
      <c r="E167" s="169">
        <v>1545</v>
      </c>
    </row>
    <row r="168" spans="1:5" x14ac:dyDescent="0.25">
      <c r="A168" s="173">
        <v>2019</v>
      </c>
      <c r="B168" s="168" t="s">
        <v>192</v>
      </c>
      <c r="C168" s="172" t="s">
        <v>192</v>
      </c>
      <c r="D168" s="168" t="s">
        <v>1304</v>
      </c>
      <c r="E168" s="169">
        <v>0</v>
      </c>
    </row>
    <row r="169" spans="1:5" x14ac:dyDescent="0.25">
      <c r="A169" s="173">
        <v>2019</v>
      </c>
      <c r="B169" s="168" t="s">
        <v>193</v>
      </c>
      <c r="C169" s="172" t="s">
        <v>193</v>
      </c>
      <c r="D169" s="168" t="s">
        <v>1305</v>
      </c>
      <c r="E169" s="169">
        <v>1731</v>
      </c>
    </row>
    <row r="170" spans="1:5" x14ac:dyDescent="0.25">
      <c r="A170" s="173">
        <v>2019</v>
      </c>
      <c r="B170" s="168" t="s">
        <v>194</v>
      </c>
      <c r="C170" s="172" t="s">
        <v>194</v>
      </c>
      <c r="D170" s="168" t="s">
        <v>1306</v>
      </c>
      <c r="E170" s="169">
        <v>4174</v>
      </c>
    </row>
    <row r="171" spans="1:5" x14ac:dyDescent="0.25">
      <c r="A171" s="173">
        <v>2019</v>
      </c>
      <c r="B171" s="168" t="s">
        <v>195</v>
      </c>
      <c r="C171" s="172" t="s">
        <v>195</v>
      </c>
      <c r="D171" s="168" t="s">
        <v>1307</v>
      </c>
      <c r="E171" s="169">
        <v>2894</v>
      </c>
    </row>
    <row r="172" spans="1:5" x14ac:dyDescent="0.25">
      <c r="A172" s="173">
        <v>2019</v>
      </c>
      <c r="B172" s="168" t="s">
        <v>197</v>
      </c>
      <c r="C172" s="172" t="s">
        <v>197</v>
      </c>
      <c r="D172" s="168" t="s">
        <v>1308</v>
      </c>
      <c r="E172" s="169">
        <v>2411</v>
      </c>
    </row>
    <row r="173" spans="1:5" x14ac:dyDescent="0.25">
      <c r="A173" s="173">
        <v>2019</v>
      </c>
      <c r="B173" s="168" t="s">
        <v>198</v>
      </c>
      <c r="C173" s="172" t="s">
        <v>198</v>
      </c>
      <c r="D173" s="168" t="s">
        <v>1309</v>
      </c>
      <c r="E173" s="169">
        <v>1595</v>
      </c>
    </row>
    <row r="174" spans="1:5" x14ac:dyDescent="0.25">
      <c r="A174" s="173">
        <v>2019</v>
      </c>
      <c r="B174" s="168" t="s">
        <v>199</v>
      </c>
      <c r="C174" s="172" t="s">
        <v>199</v>
      </c>
      <c r="D174" s="168" t="s">
        <v>1310</v>
      </c>
      <c r="E174" s="169">
        <v>3713</v>
      </c>
    </row>
    <row r="175" spans="1:5" x14ac:dyDescent="0.25">
      <c r="A175" s="173">
        <v>2019</v>
      </c>
      <c r="B175" s="168" t="s">
        <v>200</v>
      </c>
      <c r="C175" s="172" t="s">
        <v>200</v>
      </c>
      <c r="D175" s="168" t="s">
        <v>1311</v>
      </c>
      <c r="E175" s="169">
        <v>5086</v>
      </c>
    </row>
    <row r="176" spans="1:5" x14ac:dyDescent="0.25">
      <c r="A176" s="173">
        <v>2019</v>
      </c>
      <c r="B176" s="168" t="s">
        <v>201</v>
      </c>
      <c r="C176" s="172" t="s">
        <v>201</v>
      </c>
      <c r="D176" s="168" t="s">
        <v>1312</v>
      </c>
      <c r="E176" s="169">
        <v>3977</v>
      </c>
    </row>
    <row r="177" spans="1:5" x14ac:dyDescent="0.25">
      <c r="A177" s="173">
        <v>2019</v>
      </c>
      <c r="B177" s="168" t="s">
        <v>202</v>
      </c>
      <c r="C177" s="172" t="s">
        <v>202</v>
      </c>
      <c r="D177" s="168" t="s">
        <v>1313</v>
      </c>
      <c r="E177" s="169">
        <v>7147</v>
      </c>
    </row>
    <row r="178" spans="1:5" x14ac:dyDescent="0.25">
      <c r="A178" s="173">
        <v>2019</v>
      </c>
      <c r="B178" s="168" t="s">
        <v>203</v>
      </c>
      <c r="C178" s="172" t="s">
        <v>203</v>
      </c>
      <c r="D178" s="168" t="s">
        <v>1314</v>
      </c>
      <c r="E178" s="169">
        <v>33103</v>
      </c>
    </row>
    <row r="179" spans="1:5" x14ac:dyDescent="0.25">
      <c r="A179" s="173">
        <v>2019</v>
      </c>
      <c r="B179" s="168" t="s">
        <v>204</v>
      </c>
      <c r="C179" s="172" t="s">
        <v>204</v>
      </c>
      <c r="D179" s="168" t="s">
        <v>1315</v>
      </c>
      <c r="E179" s="169">
        <v>1035</v>
      </c>
    </row>
    <row r="180" spans="1:5" x14ac:dyDescent="0.25">
      <c r="A180" s="173">
        <v>2019</v>
      </c>
      <c r="B180" s="168" t="s">
        <v>205</v>
      </c>
      <c r="C180" s="172" t="s">
        <v>205</v>
      </c>
      <c r="D180" s="168" t="s">
        <v>1316</v>
      </c>
      <c r="E180" s="169">
        <v>53355</v>
      </c>
    </row>
    <row r="181" spans="1:5" x14ac:dyDescent="0.25">
      <c r="A181" s="173">
        <v>2019</v>
      </c>
      <c r="B181" s="168" t="s">
        <v>207</v>
      </c>
      <c r="C181" s="172" t="s">
        <v>207</v>
      </c>
      <c r="D181" s="168" t="s">
        <v>1317</v>
      </c>
      <c r="E181" s="169">
        <v>1639</v>
      </c>
    </row>
    <row r="182" spans="1:5" x14ac:dyDescent="0.25">
      <c r="A182" s="173">
        <v>2019</v>
      </c>
      <c r="B182" s="168" t="s">
        <v>208</v>
      </c>
      <c r="C182" s="172" t="s">
        <v>208</v>
      </c>
      <c r="D182" s="168" t="s">
        <v>1318</v>
      </c>
      <c r="E182" s="169">
        <v>0</v>
      </c>
    </row>
    <row r="183" spans="1:5" x14ac:dyDescent="0.25">
      <c r="A183" s="173">
        <v>2019</v>
      </c>
      <c r="B183" s="168" t="s">
        <v>212</v>
      </c>
      <c r="C183" s="172" t="s">
        <v>212</v>
      </c>
      <c r="D183" s="168" t="s">
        <v>799</v>
      </c>
      <c r="E183" s="169">
        <v>5470</v>
      </c>
    </row>
    <row r="184" spans="1:5" x14ac:dyDescent="0.25">
      <c r="A184" s="173">
        <v>2019</v>
      </c>
      <c r="B184" s="168" t="s">
        <v>209</v>
      </c>
      <c r="C184" s="172" t="s">
        <v>209</v>
      </c>
      <c r="D184" s="168" t="s">
        <v>1319</v>
      </c>
      <c r="E184" s="169">
        <v>5925</v>
      </c>
    </row>
    <row r="185" spans="1:5" x14ac:dyDescent="0.25">
      <c r="A185" s="173">
        <v>2019</v>
      </c>
      <c r="B185" s="168" t="s">
        <v>210</v>
      </c>
      <c r="C185" s="172" t="s">
        <v>210</v>
      </c>
      <c r="D185" s="168" t="s">
        <v>1320</v>
      </c>
      <c r="E185" s="169">
        <v>6963</v>
      </c>
    </row>
    <row r="186" spans="1:5" x14ac:dyDescent="0.25">
      <c r="A186" s="173">
        <v>2019</v>
      </c>
      <c r="B186" s="168" t="s">
        <v>211</v>
      </c>
      <c r="C186" s="172" t="s">
        <v>211</v>
      </c>
      <c r="D186" s="168" t="s">
        <v>1321</v>
      </c>
      <c r="E186" s="169">
        <v>0</v>
      </c>
    </row>
    <row r="187" spans="1:5" x14ac:dyDescent="0.25">
      <c r="A187" s="173">
        <v>2019</v>
      </c>
      <c r="B187" s="168" t="s">
        <v>206</v>
      </c>
      <c r="C187" s="172" t="s">
        <v>206</v>
      </c>
      <c r="D187" s="168" t="s">
        <v>1322</v>
      </c>
      <c r="E187" s="169">
        <v>0</v>
      </c>
    </row>
    <row r="188" spans="1:5" x14ac:dyDescent="0.25">
      <c r="A188" s="173">
        <v>2019</v>
      </c>
      <c r="B188" s="168" t="s">
        <v>213</v>
      </c>
      <c r="C188" s="172" t="s">
        <v>213</v>
      </c>
      <c r="D188" s="168" t="s">
        <v>1323</v>
      </c>
      <c r="E188" s="169">
        <v>0</v>
      </c>
    </row>
    <row r="189" spans="1:5" x14ac:dyDescent="0.25">
      <c r="A189" s="173">
        <v>2019</v>
      </c>
      <c r="B189" s="168" t="s">
        <v>214</v>
      </c>
      <c r="C189" s="172" t="s">
        <v>214</v>
      </c>
      <c r="D189" s="168" t="s">
        <v>1324</v>
      </c>
      <c r="E189" s="169">
        <v>4247</v>
      </c>
    </row>
    <row r="190" spans="1:5" x14ac:dyDescent="0.25">
      <c r="A190" s="173">
        <v>2019</v>
      </c>
      <c r="B190" s="168" t="s">
        <v>215</v>
      </c>
      <c r="C190" s="172" t="s">
        <v>215</v>
      </c>
      <c r="D190" s="168" t="s">
        <v>1325</v>
      </c>
      <c r="E190" s="169">
        <v>3360</v>
      </c>
    </row>
    <row r="191" spans="1:5" x14ac:dyDescent="0.25">
      <c r="A191" s="173">
        <v>2019</v>
      </c>
      <c r="B191" s="168" t="s">
        <v>216</v>
      </c>
      <c r="C191" s="172" t="s">
        <v>216</v>
      </c>
      <c r="D191" s="168" t="s">
        <v>1326</v>
      </c>
      <c r="E191" s="169">
        <v>0</v>
      </c>
    </row>
    <row r="192" spans="1:5" x14ac:dyDescent="0.25">
      <c r="A192" s="173">
        <v>2019</v>
      </c>
      <c r="B192" s="168" t="s">
        <v>217</v>
      </c>
      <c r="C192" s="172" t="s">
        <v>217</v>
      </c>
      <c r="D192" s="168" t="s">
        <v>1327</v>
      </c>
      <c r="E192" s="169">
        <v>2160</v>
      </c>
    </row>
    <row r="193" spans="1:5" x14ac:dyDescent="0.25">
      <c r="A193" s="173">
        <v>2019</v>
      </c>
      <c r="B193" s="168" t="s">
        <v>218</v>
      </c>
      <c r="C193" s="172" t="s">
        <v>218</v>
      </c>
      <c r="D193" s="168" t="s">
        <v>1328</v>
      </c>
      <c r="E193" s="169">
        <v>0</v>
      </c>
    </row>
    <row r="194" spans="1:5" x14ac:dyDescent="0.25">
      <c r="A194" s="173">
        <v>2019</v>
      </c>
      <c r="B194" s="168" t="s">
        <v>219</v>
      </c>
      <c r="C194" s="172" t="s">
        <v>219</v>
      </c>
      <c r="D194" s="168" t="s">
        <v>1329</v>
      </c>
      <c r="E194" s="169">
        <v>4636</v>
      </c>
    </row>
    <row r="195" spans="1:5" x14ac:dyDescent="0.25">
      <c r="A195" s="173">
        <v>2019</v>
      </c>
      <c r="B195" s="168" t="s">
        <v>220</v>
      </c>
      <c r="C195" s="172" t="s">
        <v>220</v>
      </c>
      <c r="D195" s="168" t="s">
        <v>1330</v>
      </c>
      <c r="E195" s="169">
        <v>10842</v>
      </c>
    </row>
    <row r="196" spans="1:5" x14ac:dyDescent="0.25">
      <c r="A196" s="173">
        <v>2019</v>
      </c>
      <c r="B196" s="168" t="s">
        <v>221</v>
      </c>
      <c r="C196" s="172" t="s">
        <v>221</v>
      </c>
      <c r="D196" s="168" t="s">
        <v>1331</v>
      </c>
      <c r="E196" s="169">
        <v>7343</v>
      </c>
    </row>
    <row r="197" spans="1:5" x14ac:dyDescent="0.25">
      <c r="A197" s="173">
        <v>2019</v>
      </c>
      <c r="B197" s="168" t="s">
        <v>222</v>
      </c>
      <c r="C197" s="172" t="s">
        <v>222</v>
      </c>
      <c r="D197" s="168" t="s">
        <v>1332</v>
      </c>
      <c r="E197" s="169">
        <v>0</v>
      </c>
    </row>
    <row r="198" spans="1:5" x14ac:dyDescent="0.25">
      <c r="A198" s="173">
        <v>2019</v>
      </c>
      <c r="B198" s="168" t="s">
        <v>223</v>
      </c>
      <c r="C198" s="172" t="s">
        <v>223</v>
      </c>
      <c r="D198" s="168" t="s">
        <v>1333</v>
      </c>
      <c r="E198" s="169">
        <v>0</v>
      </c>
    </row>
    <row r="199" spans="1:5" x14ac:dyDescent="0.25">
      <c r="A199" s="173">
        <v>2019</v>
      </c>
      <c r="B199" s="168" t="s">
        <v>224</v>
      </c>
      <c r="C199" s="172" t="s">
        <v>224</v>
      </c>
      <c r="D199" s="168" t="s">
        <v>1334</v>
      </c>
      <c r="E199" s="169">
        <v>652</v>
      </c>
    </row>
    <row r="200" spans="1:5" x14ac:dyDescent="0.25">
      <c r="A200" s="173">
        <v>2019</v>
      </c>
      <c r="B200" s="168" t="s">
        <v>225</v>
      </c>
      <c r="C200" s="172" t="s">
        <v>225</v>
      </c>
      <c r="D200" s="168" t="s">
        <v>1335</v>
      </c>
      <c r="E200" s="169">
        <v>0</v>
      </c>
    </row>
    <row r="201" spans="1:5" x14ac:dyDescent="0.25">
      <c r="A201" s="173">
        <v>2019</v>
      </c>
      <c r="B201" s="168" t="s">
        <v>227</v>
      </c>
      <c r="C201" s="172" t="s">
        <v>227</v>
      </c>
      <c r="D201" s="168" t="s">
        <v>1336</v>
      </c>
      <c r="E201" s="169">
        <v>5092</v>
      </c>
    </row>
    <row r="202" spans="1:5" x14ac:dyDescent="0.25">
      <c r="A202" s="173">
        <v>2019</v>
      </c>
      <c r="B202" s="168" t="s">
        <v>228</v>
      </c>
      <c r="C202" s="172" t="s">
        <v>228</v>
      </c>
      <c r="D202" s="168" t="s">
        <v>1337</v>
      </c>
      <c r="E202" s="169">
        <v>0</v>
      </c>
    </row>
    <row r="203" spans="1:5" x14ac:dyDescent="0.25">
      <c r="A203" s="173">
        <v>2019</v>
      </c>
      <c r="B203" s="168" t="s">
        <v>226</v>
      </c>
      <c r="C203" s="172" t="s">
        <v>226</v>
      </c>
      <c r="D203" s="168" t="s">
        <v>1338</v>
      </c>
      <c r="E203" s="169">
        <v>0</v>
      </c>
    </row>
    <row r="204" spans="1:5" x14ac:dyDescent="0.25">
      <c r="A204" s="173">
        <v>2019</v>
      </c>
      <c r="B204" s="168" t="s">
        <v>229</v>
      </c>
      <c r="C204" s="172" t="s">
        <v>229</v>
      </c>
      <c r="D204" s="168" t="s">
        <v>1339</v>
      </c>
      <c r="E204" s="169">
        <v>12284</v>
      </c>
    </row>
    <row r="205" spans="1:5" x14ac:dyDescent="0.25">
      <c r="A205" s="173">
        <v>2019</v>
      </c>
      <c r="B205" s="168" t="s">
        <v>144</v>
      </c>
      <c r="C205" s="172" t="s">
        <v>144</v>
      </c>
      <c r="D205" s="168" t="s">
        <v>1340</v>
      </c>
      <c r="E205" s="169">
        <v>3479</v>
      </c>
    </row>
    <row r="206" spans="1:5" x14ac:dyDescent="0.25">
      <c r="A206" s="173">
        <v>2019</v>
      </c>
      <c r="B206" s="168" t="s">
        <v>30</v>
      </c>
      <c r="C206" s="172" t="s">
        <v>30</v>
      </c>
      <c r="D206" s="168" t="s">
        <v>1341</v>
      </c>
      <c r="E206" s="169">
        <v>6461</v>
      </c>
    </row>
    <row r="207" spans="1:5" x14ac:dyDescent="0.25">
      <c r="A207" s="173">
        <v>2019</v>
      </c>
      <c r="B207" s="168" t="s">
        <v>187</v>
      </c>
      <c r="C207" s="172" t="s">
        <v>187</v>
      </c>
      <c r="D207" s="168" t="s">
        <v>1342</v>
      </c>
      <c r="E207" s="169">
        <v>4087</v>
      </c>
    </row>
    <row r="208" spans="1:5" x14ac:dyDescent="0.25">
      <c r="A208" s="173">
        <v>2019</v>
      </c>
      <c r="B208" s="168" t="s">
        <v>232</v>
      </c>
      <c r="C208" s="172" t="s">
        <v>232</v>
      </c>
      <c r="D208" s="168" t="s">
        <v>1343</v>
      </c>
      <c r="E208" s="169">
        <v>9785</v>
      </c>
    </row>
    <row r="209" spans="1:5" x14ac:dyDescent="0.25">
      <c r="A209" s="173">
        <v>2019</v>
      </c>
      <c r="B209" s="168" t="s">
        <v>60</v>
      </c>
      <c r="C209" s="172" t="s">
        <v>60</v>
      </c>
      <c r="D209" s="168" t="s">
        <v>1344</v>
      </c>
      <c r="E209" s="169">
        <v>2259</v>
      </c>
    </row>
    <row r="210" spans="1:5" x14ac:dyDescent="0.25">
      <c r="A210" s="173">
        <v>2019</v>
      </c>
      <c r="B210" s="168" t="s">
        <v>236</v>
      </c>
      <c r="C210" s="172" t="s">
        <v>236</v>
      </c>
      <c r="D210" s="168" t="s">
        <v>1345</v>
      </c>
      <c r="E210" s="169">
        <v>2443</v>
      </c>
    </row>
    <row r="211" spans="1:5" x14ac:dyDescent="0.25">
      <c r="A211" s="173">
        <v>2019</v>
      </c>
      <c r="B211" s="168" t="s">
        <v>235</v>
      </c>
      <c r="C211" s="172" t="s">
        <v>235</v>
      </c>
      <c r="D211" s="168" t="s">
        <v>1346</v>
      </c>
      <c r="E211" s="169">
        <v>32</v>
      </c>
    </row>
    <row r="212" spans="1:5" x14ac:dyDescent="0.25">
      <c r="A212" s="173">
        <v>2019</v>
      </c>
      <c r="B212" s="168" t="s">
        <v>234</v>
      </c>
      <c r="C212" s="172" t="s">
        <v>234</v>
      </c>
      <c r="D212" s="168" t="s">
        <v>1347</v>
      </c>
      <c r="E212" s="169">
        <v>454</v>
      </c>
    </row>
    <row r="213" spans="1:5" x14ac:dyDescent="0.25">
      <c r="A213" s="173">
        <v>2019</v>
      </c>
      <c r="B213" s="168" t="s">
        <v>237</v>
      </c>
      <c r="C213" s="172" t="s">
        <v>237</v>
      </c>
      <c r="D213" s="168" t="s">
        <v>1348</v>
      </c>
      <c r="E213" s="169">
        <v>6461</v>
      </c>
    </row>
    <row r="214" spans="1:5" x14ac:dyDescent="0.25">
      <c r="A214" s="173">
        <v>2019</v>
      </c>
      <c r="B214" s="168" t="s">
        <v>238</v>
      </c>
      <c r="C214" s="172" t="s">
        <v>238</v>
      </c>
      <c r="D214" s="168" t="s">
        <v>1349</v>
      </c>
      <c r="E214" s="169">
        <v>4968</v>
      </c>
    </row>
    <row r="215" spans="1:5" x14ac:dyDescent="0.25">
      <c r="A215" s="173">
        <v>2019</v>
      </c>
      <c r="B215" s="168" t="s">
        <v>239</v>
      </c>
      <c r="C215" s="172" t="s">
        <v>239</v>
      </c>
      <c r="D215" s="168" t="s">
        <v>1350</v>
      </c>
      <c r="E215" s="169">
        <v>1281</v>
      </c>
    </row>
    <row r="216" spans="1:5" x14ac:dyDescent="0.25">
      <c r="A216" s="173">
        <v>2019</v>
      </c>
      <c r="B216" s="168" t="s">
        <v>37</v>
      </c>
      <c r="C216" s="172" t="s">
        <v>37</v>
      </c>
      <c r="D216" s="168" t="s">
        <v>1351</v>
      </c>
      <c r="E216" s="169">
        <v>574</v>
      </c>
    </row>
    <row r="217" spans="1:5" x14ac:dyDescent="0.25">
      <c r="A217" s="173">
        <v>2019</v>
      </c>
      <c r="B217" s="168" t="s">
        <v>240</v>
      </c>
      <c r="C217" s="172" t="s">
        <v>240</v>
      </c>
      <c r="D217" s="168" t="s">
        <v>1352</v>
      </c>
      <c r="E217" s="169">
        <v>2916</v>
      </c>
    </row>
    <row r="218" spans="1:5" x14ac:dyDescent="0.25">
      <c r="A218" s="173">
        <v>2019</v>
      </c>
      <c r="B218" s="168" t="s">
        <v>231</v>
      </c>
      <c r="C218" s="172" t="s">
        <v>231</v>
      </c>
      <c r="D218" s="168" t="s">
        <v>1353</v>
      </c>
      <c r="E218" s="169">
        <v>4397</v>
      </c>
    </row>
    <row r="219" spans="1:5" x14ac:dyDescent="0.25">
      <c r="A219" s="173">
        <v>2019</v>
      </c>
      <c r="B219" s="168" t="s">
        <v>233</v>
      </c>
      <c r="C219" s="172" t="s">
        <v>233</v>
      </c>
      <c r="D219" s="168" t="s">
        <v>1354</v>
      </c>
      <c r="E219" s="169">
        <v>3286</v>
      </c>
    </row>
    <row r="220" spans="1:5" x14ac:dyDescent="0.25">
      <c r="A220" s="173">
        <v>2019</v>
      </c>
      <c r="B220" s="168" t="s">
        <v>241</v>
      </c>
      <c r="C220" s="172" t="s">
        <v>241</v>
      </c>
      <c r="D220" s="168" t="s">
        <v>1355</v>
      </c>
      <c r="E220" s="169">
        <v>1330</v>
      </c>
    </row>
    <row r="221" spans="1:5" x14ac:dyDescent="0.25">
      <c r="A221" s="173">
        <v>2019</v>
      </c>
      <c r="B221" s="168" t="s">
        <v>242</v>
      </c>
      <c r="C221" s="172" t="s">
        <v>242</v>
      </c>
      <c r="D221" s="168" t="s">
        <v>1356</v>
      </c>
      <c r="E221" s="169">
        <v>16073</v>
      </c>
    </row>
    <row r="222" spans="1:5" x14ac:dyDescent="0.25">
      <c r="A222" s="173">
        <v>2019</v>
      </c>
      <c r="B222" s="168" t="s">
        <v>244</v>
      </c>
      <c r="C222" s="172" t="s">
        <v>244</v>
      </c>
      <c r="D222" s="168" t="s">
        <v>1357</v>
      </c>
      <c r="E222" s="169">
        <v>2309</v>
      </c>
    </row>
    <row r="223" spans="1:5" x14ac:dyDescent="0.25">
      <c r="A223" s="173">
        <v>2019</v>
      </c>
      <c r="B223" s="168" t="s">
        <v>245</v>
      </c>
      <c r="C223" s="172" t="s">
        <v>245</v>
      </c>
      <c r="D223" s="168" t="s">
        <v>1358</v>
      </c>
      <c r="E223" s="169">
        <v>13604</v>
      </c>
    </row>
    <row r="224" spans="1:5" x14ac:dyDescent="0.25">
      <c r="A224" s="173">
        <v>2019</v>
      </c>
      <c r="B224" s="168" t="s">
        <v>246</v>
      </c>
      <c r="C224" s="172" t="s">
        <v>246</v>
      </c>
      <c r="D224" s="168" t="s">
        <v>1359</v>
      </c>
      <c r="E224" s="169">
        <v>4534</v>
      </c>
    </row>
    <row r="225" spans="1:5" x14ac:dyDescent="0.25">
      <c r="A225" s="173">
        <v>2019</v>
      </c>
      <c r="B225" s="168" t="s">
        <v>247</v>
      </c>
      <c r="C225" s="172" t="s">
        <v>247</v>
      </c>
      <c r="D225" s="168" t="s">
        <v>1360</v>
      </c>
      <c r="E225" s="169">
        <v>7478</v>
      </c>
    </row>
    <row r="226" spans="1:5" x14ac:dyDescent="0.25">
      <c r="A226" s="173">
        <v>2019</v>
      </c>
      <c r="B226" s="168" t="s">
        <v>248</v>
      </c>
      <c r="C226" s="172" t="s">
        <v>248</v>
      </c>
      <c r="D226" s="168" t="s">
        <v>1361</v>
      </c>
      <c r="E226" s="169">
        <v>1852</v>
      </c>
    </row>
    <row r="227" spans="1:5" x14ac:dyDescent="0.25">
      <c r="A227" s="173">
        <v>2019</v>
      </c>
      <c r="B227" s="168" t="s">
        <v>249</v>
      </c>
      <c r="C227" s="172" t="s">
        <v>249</v>
      </c>
      <c r="D227" s="168" t="s">
        <v>1362</v>
      </c>
      <c r="E227" s="169">
        <v>3022</v>
      </c>
    </row>
    <row r="228" spans="1:5" x14ac:dyDescent="0.25">
      <c r="A228" s="173">
        <v>2019</v>
      </c>
      <c r="B228" s="168" t="s">
        <v>250</v>
      </c>
      <c r="C228" s="172" t="s">
        <v>250</v>
      </c>
      <c r="D228" s="168" t="s">
        <v>1363</v>
      </c>
      <c r="E228" s="169">
        <v>3114</v>
      </c>
    </row>
    <row r="229" spans="1:5" x14ac:dyDescent="0.25">
      <c r="A229" s="173">
        <v>2019</v>
      </c>
      <c r="B229" s="168" t="s">
        <v>251</v>
      </c>
      <c r="C229" s="172" t="s">
        <v>251</v>
      </c>
      <c r="D229" s="168" t="s">
        <v>1364</v>
      </c>
      <c r="E229" s="169">
        <v>17090</v>
      </c>
    </row>
    <row r="230" spans="1:5" x14ac:dyDescent="0.25">
      <c r="A230" s="173">
        <v>2019</v>
      </c>
      <c r="B230" s="168" t="s">
        <v>252</v>
      </c>
      <c r="C230" s="172" t="s">
        <v>252</v>
      </c>
      <c r="D230" s="168" t="s">
        <v>1365</v>
      </c>
      <c r="E230" s="169">
        <v>8422</v>
      </c>
    </row>
    <row r="231" spans="1:5" x14ac:dyDescent="0.25">
      <c r="A231" s="173">
        <v>2019</v>
      </c>
      <c r="B231" s="168" t="s">
        <v>253</v>
      </c>
      <c r="C231" s="172" t="s">
        <v>253</v>
      </c>
      <c r="D231" s="168" t="s">
        <v>1366</v>
      </c>
      <c r="E231" s="169">
        <v>6410</v>
      </c>
    </row>
    <row r="232" spans="1:5" x14ac:dyDescent="0.25">
      <c r="A232" s="173">
        <v>2019</v>
      </c>
      <c r="B232" s="168" t="s">
        <v>254</v>
      </c>
      <c r="C232" s="172" t="s">
        <v>254</v>
      </c>
      <c r="D232" s="168" t="s">
        <v>1367</v>
      </c>
      <c r="E232" s="169">
        <v>1260</v>
      </c>
    </row>
    <row r="233" spans="1:5" x14ac:dyDescent="0.25">
      <c r="A233" s="173">
        <v>2019</v>
      </c>
      <c r="B233" s="168" t="s">
        <v>263</v>
      </c>
      <c r="C233" s="172" t="s">
        <v>704</v>
      </c>
      <c r="D233" s="168" t="s">
        <v>6</v>
      </c>
      <c r="E233" s="169">
        <v>8674</v>
      </c>
    </row>
    <row r="234" spans="1:5" x14ac:dyDescent="0.25">
      <c r="A234" s="173">
        <v>2019</v>
      </c>
      <c r="B234" s="168" t="s">
        <v>256</v>
      </c>
      <c r="C234" s="172" t="s">
        <v>256</v>
      </c>
      <c r="D234" s="168" t="s">
        <v>1368</v>
      </c>
      <c r="E234" s="169">
        <v>3697</v>
      </c>
    </row>
    <row r="235" spans="1:5" x14ac:dyDescent="0.25">
      <c r="A235" s="173">
        <v>2019</v>
      </c>
      <c r="B235" s="168" t="s">
        <v>257</v>
      </c>
      <c r="C235" s="172" t="s">
        <v>257</v>
      </c>
      <c r="D235" s="168" t="s">
        <v>1369</v>
      </c>
      <c r="E235" s="169">
        <v>10690</v>
      </c>
    </row>
    <row r="236" spans="1:5" x14ac:dyDescent="0.25">
      <c r="A236" s="173">
        <v>2019</v>
      </c>
      <c r="B236" s="168" t="s">
        <v>258</v>
      </c>
      <c r="C236" s="172" t="s">
        <v>258</v>
      </c>
      <c r="D236" s="168" t="s">
        <v>1370</v>
      </c>
      <c r="E236" s="169">
        <v>13802</v>
      </c>
    </row>
    <row r="237" spans="1:5" x14ac:dyDescent="0.25">
      <c r="A237" s="173">
        <v>2019</v>
      </c>
      <c r="B237" s="168" t="s">
        <v>259</v>
      </c>
      <c r="C237" s="172" t="s">
        <v>259</v>
      </c>
      <c r="D237" s="168" t="s">
        <v>1371</v>
      </c>
      <c r="E237" s="169">
        <v>10331</v>
      </c>
    </row>
    <row r="238" spans="1:5" x14ac:dyDescent="0.25">
      <c r="A238" s="173">
        <v>2019</v>
      </c>
      <c r="B238" s="168" t="s">
        <v>260</v>
      </c>
      <c r="C238" s="172" t="s">
        <v>260</v>
      </c>
      <c r="D238" s="168" t="s">
        <v>1372</v>
      </c>
      <c r="E238" s="169">
        <v>4797</v>
      </c>
    </row>
    <row r="239" spans="1:5" x14ac:dyDescent="0.25">
      <c r="A239" s="173">
        <v>2019</v>
      </c>
      <c r="B239" s="168" t="s">
        <v>261</v>
      </c>
      <c r="C239" s="172" t="s">
        <v>261</v>
      </c>
      <c r="D239" s="168" t="s">
        <v>1373</v>
      </c>
      <c r="E239" s="169">
        <v>2521</v>
      </c>
    </row>
    <row r="240" spans="1:5" x14ac:dyDescent="0.25">
      <c r="A240" s="173">
        <v>2019</v>
      </c>
      <c r="B240" s="168" t="s">
        <v>262</v>
      </c>
      <c r="C240" s="172" t="s">
        <v>262</v>
      </c>
      <c r="D240" s="168" t="s">
        <v>1374</v>
      </c>
      <c r="E240" s="169">
        <v>4734</v>
      </c>
    </row>
    <row r="241" spans="1:5" x14ac:dyDescent="0.25">
      <c r="A241" s="173">
        <v>2019</v>
      </c>
      <c r="B241" s="168" t="s">
        <v>264</v>
      </c>
      <c r="C241" s="172" t="s">
        <v>705</v>
      </c>
      <c r="D241" s="168" t="s">
        <v>1375</v>
      </c>
      <c r="E241" s="169">
        <v>1330</v>
      </c>
    </row>
    <row r="242" spans="1:5" x14ac:dyDescent="0.25">
      <c r="A242" s="173">
        <v>2019</v>
      </c>
      <c r="B242" s="168" t="s">
        <v>265</v>
      </c>
      <c r="C242" s="172" t="s">
        <v>265</v>
      </c>
      <c r="D242" s="168" t="s">
        <v>1376</v>
      </c>
      <c r="E242" s="169">
        <v>3143</v>
      </c>
    </row>
    <row r="243" spans="1:5" x14ac:dyDescent="0.25">
      <c r="A243" s="173">
        <v>2019</v>
      </c>
      <c r="B243" s="168" t="s">
        <v>266</v>
      </c>
      <c r="C243" s="172" t="s">
        <v>266</v>
      </c>
      <c r="D243" s="168" t="s">
        <v>1377</v>
      </c>
      <c r="E243" s="169">
        <v>0</v>
      </c>
    </row>
    <row r="244" spans="1:5" x14ac:dyDescent="0.25">
      <c r="A244" s="173">
        <v>2019</v>
      </c>
      <c r="B244" s="168" t="s">
        <v>267</v>
      </c>
      <c r="C244" s="172" t="s">
        <v>267</v>
      </c>
      <c r="D244" s="168" t="s">
        <v>1378</v>
      </c>
      <c r="E244" s="169">
        <v>595</v>
      </c>
    </row>
    <row r="245" spans="1:5" x14ac:dyDescent="0.25">
      <c r="A245" s="173">
        <v>2019</v>
      </c>
      <c r="B245" s="168" t="s">
        <v>122</v>
      </c>
      <c r="C245" s="172" t="s">
        <v>122</v>
      </c>
      <c r="D245" s="168" t="s">
        <v>1379</v>
      </c>
      <c r="E245" s="169">
        <v>2018</v>
      </c>
    </row>
    <row r="246" spans="1:5" x14ac:dyDescent="0.25">
      <c r="A246" s="173">
        <v>2019</v>
      </c>
      <c r="B246" s="168" t="s">
        <v>243</v>
      </c>
      <c r="C246" s="172" t="s">
        <v>702</v>
      </c>
      <c r="D246" s="168" t="s">
        <v>1380</v>
      </c>
      <c r="E246" s="169">
        <v>7820</v>
      </c>
    </row>
    <row r="247" spans="1:5" x14ac:dyDescent="0.25">
      <c r="A247" s="173">
        <v>2019</v>
      </c>
      <c r="B247" s="168" t="s">
        <v>268</v>
      </c>
      <c r="C247" s="172" t="s">
        <v>268</v>
      </c>
      <c r="D247" s="168" t="s">
        <v>1381</v>
      </c>
      <c r="E247" s="169">
        <v>8556</v>
      </c>
    </row>
    <row r="248" spans="1:5" x14ac:dyDescent="0.25">
      <c r="A248" s="173">
        <v>2019</v>
      </c>
      <c r="B248" s="168" t="s">
        <v>269</v>
      </c>
      <c r="C248" s="172" t="s">
        <v>269</v>
      </c>
      <c r="D248" s="168" t="s">
        <v>1382</v>
      </c>
      <c r="E248" s="169">
        <v>4843</v>
      </c>
    </row>
    <row r="249" spans="1:5" x14ac:dyDescent="0.25">
      <c r="A249" s="173">
        <v>2019</v>
      </c>
      <c r="B249" s="168" t="s">
        <v>270</v>
      </c>
      <c r="C249" s="172" t="s">
        <v>270</v>
      </c>
      <c r="D249" s="168" t="s">
        <v>1383</v>
      </c>
      <c r="E249" s="169">
        <v>2616</v>
      </c>
    </row>
    <row r="250" spans="1:5" x14ac:dyDescent="0.25">
      <c r="A250" s="173">
        <v>2019</v>
      </c>
      <c r="B250" s="168" t="s">
        <v>271</v>
      </c>
      <c r="C250" s="172" t="s">
        <v>271</v>
      </c>
      <c r="D250" s="168" t="s">
        <v>1384</v>
      </c>
      <c r="E250" s="169">
        <v>3444</v>
      </c>
    </row>
    <row r="251" spans="1:5" x14ac:dyDescent="0.25">
      <c r="A251" s="173">
        <v>2019</v>
      </c>
      <c r="B251" s="168" t="s">
        <v>273</v>
      </c>
      <c r="C251" s="172" t="s">
        <v>273</v>
      </c>
      <c r="D251" s="168" t="s">
        <v>1385</v>
      </c>
      <c r="E251" s="169">
        <v>9776</v>
      </c>
    </row>
    <row r="252" spans="1:5" x14ac:dyDescent="0.25">
      <c r="A252" s="173">
        <v>2019</v>
      </c>
      <c r="B252" s="168" t="s">
        <v>274</v>
      </c>
      <c r="C252" s="172" t="s">
        <v>274</v>
      </c>
      <c r="D252" s="168" t="s">
        <v>1386</v>
      </c>
      <c r="E252" s="169">
        <v>1998</v>
      </c>
    </row>
    <row r="253" spans="1:5" x14ac:dyDescent="0.25">
      <c r="A253" s="173">
        <v>2019</v>
      </c>
      <c r="B253" s="168" t="s">
        <v>275</v>
      </c>
      <c r="C253" s="172" t="s">
        <v>275</v>
      </c>
      <c r="D253" s="168" t="s">
        <v>1387</v>
      </c>
      <c r="E253" s="169">
        <v>1037</v>
      </c>
    </row>
    <row r="254" spans="1:5" x14ac:dyDescent="0.25">
      <c r="A254" s="173">
        <v>2019</v>
      </c>
      <c r="B254" s="168" t="s">
        <v>276</v>
      </c>
      <c r="C254" s="172" t="s">
        <v>276</v>
      </c>
      <c r="D254" s="168" t="s">
        <v>1388</v>
      </c>
      <c r="E254" s="169">
        <v>4404</v>
      </c>
    </row>
    <row r="255" spans="1:5" x14ac:dyDescent="0.25">
      <c r="A255" s="173">
        <v>2019</v>
      </c>
      <c r="B255" s="168" t="s">
        <v>277</v>
      </c>
      <c r="C255" s="172" t="s">
        <v>277</v>
      </c>
      <c r="D255" s="168" t="s">
        <v>1389</v>
      </c>
      <c r="E255" s="169">
        <v>1653</v>
      </c>
    </row>
    <row r="256" spans="1:5" x14ac:dyDescent="0.25">
      <c r="A256" s="173">
        <v>2019</v>
      </c>
      <c r="B256" s="168" t="s">
        <v>279</v>
      </c>
      <c r="C256" s="172" t="s">
        <v>279</v>
      </c>
      <c r="D256" s="168" t="s">
        <v>1390</v>
      </c>
      <c r="E256" s="169">
        <v>0</v>
      </c>
    </row>
    <row r="257" spans="1:5" x14ac:dyDescent="0.25">
      <c r="A257" s="173">
        <v>2019</v>
      </c>
      <c r="B257" s="168" t="s">
        <v>280</v>
      </c>
      <c r="C257" s="172" t="s">
        <v>280</v>
      </c>
      <c r="D257" s="168" t="s">
        <v>1391</v>
      </c>
      <c r="E257" s="169">
        <v>8496</v>
      </c>
    </row>
    <row r="258" spans="1:5" x14ac:dyDescent="0.25">
      <c r="A258" s="173">
        <v>2019</v>
      </c>
      <c r="B258" s="168" t="s">
        <v>281</v>
      </c>
      <c r="C258" s="172" t="s">
        <v>281</v>
      </c>
      <c r="D258" s="168" t="s">
        <v>1392</v>
      </c>
      <c r="E258" s="169">
        <v>2023</v>
      </c>
    </row>
    <row r="259" spans="1:5" x14ac:dyDescent="0.25">
      <c r="A259" s="173">
        <v>2019</v>
      </c>
      <c r="B259" s="168" t="s">
        <v>282</v>
      </c>
      <c r="C259" s="172" t="s">
        <v>282</v>
      </c>
      <c r="D259" s="168" t="s">
        <v>1393</v>
      </c>
      <c r="E259" s="169">
        <v>3875</v>
      </c>
    </row>
    <row r="260" spans="1:5" x14ac:dyDescent="0.25">
      <c r="A260" s="173">
        <v>2019</v>
      </c>
      <c r="B260" s="168" t="s">
        <v>283</v>
      </c>
      <c r="C260" s="172" t="s">
        <v>283</v>
      </c>
      <c r="D260" s="168" t="s">
        <v>1394</v>
      </c>
      <c r="E260" s="169">
        <v>227</v>
      </c>
    </row>
    <row r="261" spans="1:5" x14ac:dyDescent="0.25">
      <c r="A261" s="173">
        <v>2019</v>
      </c>
      <c r="B261" s="168" t="s">
        <v>284</v>
      </c>
      <c r="C261" s="172" t="s">
        <v>284</v>
      </c>
      <c r="D261" s="168" t="s">
        <v>1395</v>
      </c>
      <c r="E261" s="169">
        <v>7128</v>
      </c>
    </row>
    <row r="262" spans="1:5" x14ac:dyDescent="0.25">
      <c r="A262" s="173">
        <v>2019</v>
      </c>
      <c r="B262" s="168" t="s">
        <v>286</v>
      </c>
      <c r="C262" s="172" t="s">
        <v>706</v>
      </c>
      <c r="D262" s="168" t="s">
        <v>1396</v>
      </c>
      <c r="E262" s="169">
        <v>0</v>
      </c>
    </row>
    <row r="263" spans="1:5" x14ac:dyDescent="0.25">
      <c r="A263" s="173">
        <v>2019</v>
      </c>
      <c r="B263" s="168" t="s">
        <v>285</v>
      </c>
      <c r="C263" s="172" t="s">
        <v>285</v>
      </c>
      <c r="D263" s="168" t="s">
        <v>1397</v>
      </c>
      <c r="E263" s="169">
        <v>0</v>
      </c>
    </row>
    <row r="264" spans="1:5" x14ac:dyDescent="0.25">
      <c r="A264" s="173">
        <v>2019</v>
      </c>
      <c r="B264" s="168" t="s">
        <v>288</v>
      </c>
      <c r="C264" s="172" t="s">
        <v>288</v>
      </c>
      <c r="D264" s="168" t="s">
        <v>1398</v>
      </c>
      <c r="E264" s="169">
        <v>5249</v>
      </c>
    </row>
    <row r="265" spans="1:5" x14ac:dyDescent="0.25">
      <c r="A265" s="173">
        <v>2019</v>
      </c>
      <c r="B265" s="168" t="s">
        <v>287</v>
      </c>
      <c r="C265" s="172" t="s">
        <v>287</v>
      </c>
      <c r="D265" s="168" t="s">
        <v>1399</v>
      </c>
      <c r="E265" s="169">
        <v>2671</v>
      </c>
    </row>
    <row r="266" spans="1:5" x14ac:dyDescent="0.25">
      <c r="A266" s="173">
        <v>2019</v>
      </c>
      <c r="B266" s="168" t="s">
        <v>290</v>
      </c>
      <c r="C266" s="172" t="s">
        <v>290</v>
      </c>
      <c r="D266" s="168" t="s">
        <v>1400</v>
      </c>
      <c r="E266" s="169">
        <v>872</v>
      </c>
    </row>
    <row r="267" spans="1:5" x14ac:dyDescent="0.25">
      <c r="A267" s="173">
        <v>2019</v>
      </c>
      <c r="B267" s="168" t="s">
        <v>255</v>
      </c>
      <c r="C267" s="172" t="s">
        <v>703</v>
      </c>
      <c r="D267" s="168" t="s">
        <v>1401</v>
      </c>
      <c r="E267" s="169">
        <v>2196</v>
      </c>
    </row>
    <row r="268" spans="1:5" x14ac:dyDescent="0.25">
      <c r="A268" s="173">
        <v>2019</v>
      </c>
      <c r="B268" s="168" t="s">
        <v>292</v>
      </c>
      <c r="C268" s="172" t="s">
        <v>292</v>
      </c>
      <c r="D268" s="168" t="s">
        <v>1402</v>
      </c>
      <c r="E268" s="169">
        <v>2931</v>
      </c>
    </row>
    <row r="269" spans="1:5" x14ac:dyDescent="0.25">
      <c r="A269" s="173">
        <v>2019</v>
      </c>
      <c r="B269" s="168" t="s">
        <v>293</v>
      </c>
      <c r="C269" s="172" t="s">
        <v>293</v>
      </c>
      <c r="D269" s="168" t="s">
        <v>1403</v>
      </c>
      <c r="E269" s="169">
        <v>2770</v>
      </c>
    </row>
    <row r="270" spans="1:5" x14ac:dyDescent="0.25">
      <c r="A270" s="173">
        <v>2019</v>
      </c>
      <c r="B270" s="168" t="s">
        <v>294</v>
      </c>
      <c r="C270" s="172" t="s">
        <v>294</v>
      </c>
      <c r="D270" s="168" t="s">
        <v>1404</v>
      </c>
      <c r="E270" s="169">
        <v>1337</v>
      </c>
    </row>
    <row r="271" spans="1:5" x14ac:dyDescent="0.25">
      <c r="A271" s="173">
        <v>2019</v>
      </c>
      <c r="B271" s="168" t="s">
        <v>295</v>
      </c>
      <c r="C271" s="172" t="s">
        <v>295</v>
      </c>
      <c r="D271" s="168" t="s">
        <v>1405</v>
      </c>
      <c r="E271" s="169">
        <v>48698</v>
      </c>
    </row>
    <row r="272" spans="1:5" x14ac:dyDescent="0.25">
      <c r="A272" s="173">
        <v>2019</v>
      </c>
      <c r="B272" s="168" t="s">
        <v>289</v>
      </c>
      <c r="C272" s="172" t="s">
        <v>289</v>
      </c>
      <c r="D272" s="168" t="s">
        <v>1406</v>
      </c>
      <c r="E272" s="169">
        <v>1691</v>
      </c>
    </row>
    <row r="273" spans="1:5" x14ac:dyDescent="0.25">
      <c r="A273" s="173">
        <v>2019</v>
      </c>
      <c r="B273" s="168" t="s">
        <v>291</v>
      </c>
      <c r="C273" s="172" t="s">
        <v>291</v>
      </c>
      <c r="D273" s="168" t="s">
        <v>1407</v>
      </c>
      <c r="E273" s="169">
        <v>2239</v>
      </c>
    </row>
    <row r="274" spans="1:5" x14ac:dyDescent="0.25">
      <c r="A274" s="173">
        <v>2019</v>
      </c>
      <c r="B274" s="168" t="s">
        <v>296</v>
      </c>
      <c r="C274" s="172" t="s">
        <v>296</v>
      </c>
      <c r="D274" s="168" t="s">
        <v>1408</v>
      </c>
      <c r="E274" s="169">
        <v>3669</v>
      </c>
    </row>
    <row r="275" spans="1:5" x14ac:dyDescent="0.25">
      <c r="A275" s="173">
        <v>2019</v>
      </c>
      <c r="B275" s="168" t="s">
        <v>297</v>
      </c>
      <c r="C275" s="172" t="s">
        <v>297</v>
      </c>
      <c r="D275" s="168" t="s">
        <v>1409</v>
      </c>
      <c r="E275" s="169">
        <v>1754</v>
      </c>
    </row>
    <row r="276" spans="1:5" x14ac:dyDescent="0.25">
      <c r="A276" s="173">
        <v>2019</v>
      </c>
      <c r="B276" s="168" t="s">
        <v>298</v>
      </c>
      <c r="C276" s="172" t="s">
        <v>298</v>
      </c>
      <c r="D276" s="168" t="s">
        <v>1410</v>
      </c>
      <c r="E276" s="169">
        <v>0</v>
      </c>
    </row>
    <row r="277" spans="1:5" x14ac:dyDescent="0.25">
      <c r="A277" s="173">
        <v>2019</v>
      </c>
      <c r="B277" s="168" t="s">
        <v>272</v>
      </c>
      <c r="C277" s="172" t="s">
        <v>272</v>
      </c>
      <c r="D277" s="168" t="s">
        <v>1411</v>
      </c>
      <c r="E277" s="169">
        <v>4121</v>
      </c>
    </row>
    <row r="278" spans="1:5" x14ac:dyDescent="0.25">
      <c r="A278" s="173">
        <v>2019</v>
      </c>
      <c r="B278" s="168" t="s">
        <v>299</v>
      </c>
      <c r="C278" s="172" t="s">
        <v>299</v>
      </c>
      <c r="D278" s="168" t="s">
        <v>1412</v>
      </c>
      <c r="E278" s="169">
        <v>1651</v>
      </c>
    </row>
    <row r="279" spans="1:5" x14ac:dyDescent="0.25">
      <c r="A279" s="173">
        <v>2019</v>
      </c>
      <c r="B279" s="168" t="s">
        <v>300</v>
      </c>
      <c r="C279" s="172" t="s">
        <v>300</v>
      </c>
      <c r="D279" s="168" t="s">
        <v>1413</v>
      </c>
      <c r="E279" s="169">
        <v>0</v>
      </c>
    </row>
    <row r="280" spans="1:5" x14ac:dyDescent="0.25">
      <c r="A280" s="173">
        <v>2019</v>
      </c>
      <c r="B280" s="168" t="s">
        <v>301</v>
      </c>
      <c r="C280" s="172" t="s">
        <v>301</v>
      </c>
      <c r="D280" s="168" t="s">
        <v>1414</v>
      </c>
      <c r="E280" s="169">
        <v>2685</v>
      </c>
    </row>
    <row r="281" spans="1:5" x14ac:dyDescent="0.25">
      <c r="A281" s="173">
        <v>2019</v>
      </c>
      <c r="B281" s="168" t="s">
        <v>302</v>
      </c>
      <c r="C281" s="172" t="s">
        <v>302</v>
      </c>
      <c r="D281" s="168" t="s">
        <v>1415</v>
      </c>
      <c r="E281" s="169">
        <v>3937</v>
      </c>
    </row>
    <row r="282" spans="1:5" x14ac:dyDescent="0.25">
      <c r="A282" s="173">
        <v>2019</v>
      </c>
      <c r="B282" s="168" t="s">
        <v>304</v>
      </c>
      <c r="C282" s="172" t="s">
        <v>304</v>
      </c>
      <c r="D282" s="168" t="s">
        <v>1416</v>
      </c>
      <c r="E282" s="169">
        <v>1060</v>
      </c>
    </row>
    <row r="283" spans="1:5" x14ac:dyDescent="0.25">
      <c r="A283" s="173">
        <v>2019</v>
      </c>
      <c r="B283" s="168" t="s">
        <v>305</v>
      </c>
      <c r="C283" s="172" t="s">
        <v>305</v>
      </c>
      <c r="D283" s="168" t="s">
        <v>1417</v>
      </c>
      <c r="E283" s="169">
        <v>4213</v>
      </c>
    </row>
    <row r="284" spans="1:5" x14ac:dyDescent="0.25">
      <c r="A284" s="173">
        <v>2019</v>
      </c>
      <c r="B284" s="168" t="s">
        <v>306</v>
      </c>
      <c r="C284" s="172" t="s">
        <v>306</v>
      </c>
      <c r="D284" s="168" t="s">
        <v>1418</v>
      </c>
      <c r="E284" s="169">
        <v>5019</v>
      </c>
    </row>
    <row r="285" spans="1:5" x14ac:dyDescent="0.25">
      <c r="A285" s="173">
        <v>2019</v>
      </c>
      <c r="B285" s="168" t="s">
        <v>307</v>
      </c>
      <c r="C285" s="172" t="s">
        <v>307</v>
      </c>
      <c r="D285" s="168" t="s">
        <v>1419</v>
      </c>
      <c r="E285" s="169">
        <v>1303</v>
      </c>
    </row>
    <row r="286" spans="1:5" x14ac:dyDescent="0.25">
      <c r="A286" s="173">
        <v>2019</v>
      </c>
      <c r="B286" s="168" t="s">
        <v>308</v>
      </c>
      <c r="C286" s="172" t="s">
        <v>308</v>
      </c>
      <c r="D286" s="168" t="s">
        <v>1420</v>
      </c>
      <c r="E286" s="169">
        <v>0</v>
      </c>
    </row>
    <row r="287" spans="1:5" x14ac:dyDescent="0.25">
      <c r="A287" s="173">
        <v>2019</v>
      </c>
      <c r="B287" s="168" t="s">
        <v>309</v>
      </c>
      <c r="C287" s="172" t="s">
        <v>309</v>
      </c>
      <c r="D287" s="168" t="s">
        <v>1421</v>
      </c>
      <c r="E287" s="169">
        <v>0</v>
      </c>
    </row>
    <row r="288" spans="1:5" x14ac:dyDescent="0.25">
      <c r="A288" s="173">
        <v>2019</v>
      </c>
      <c r="B288" s="168" t="s">
        <v>310</v>
      </c>
      <c r="C288" s="172" t="s">
        <v>310</v>
      </c>
      <c r="D288" s="168" t="s">
        <v>1422</v>
      </c>
      <c r="E288" s="169">
        <v>157</v>
      </c>
    </row>
    <row r="289" spans="1:5" x14ac:dyDescent="0.25">
      <c r="A289" s="173">
        <v>2019</v>
      </c>
      <c r="B289" s="168" t="s">
        <v>311</v>
      </c>
      <c r="C289" s="172" t="s">
        <v>311</v>
      </c>
      <c r="D289" s="168" t="s">
        <v>1423</v>
      </c>
      <c r="E289" s="169">
        <v>2633</v>
      </c>
    </row>
    <row r="290" spans="1:5" x14ac:dyDescent="0.25">
      <c r="A290" s="173">
        <v>2019</v>
      </c>
      <c r="B290" s="168" t="s">
        <v>312</v>
      </c>
      <c r="C290" s="172" t="s">
        <v>312</v>
      </c>
      <c r="D290" s="168" t="s">
        <v>1424</v>
      </c>
      <c r="E290" s="169">
        <v>386</v>
      </c>
    </row>
    <row r="291" spans="1:5" x14ac:dyDescent="0.25">
      <c r="A291" s="173">
        <v>2019</v>
      </c>
      <c r="B291" s="168" t="s">
        <v>313</v>
      </c>
      <c r="C291" s="172" t="s">
        <v>313</v>
      </c>
      <c r="D291" s="168" t="s">
        <v>1425</v>
      </c>
      <c r="E291" s="169">
        <v>2694</v>
      </c>
    </row>
    <row r="292" spans="1:5" x14ac:dyDescent="0.25">
      <c r="A292" s="173">
        <v>2019</v>
      </c>
      <c r="B292" s="168" t="s">
        <v>115</v>
      </c>
      <c r="C292" s="172" t="s">
        <v>700</v>
      </c>
      <c r="D292" s="168" t="s">
        <v>1426</v>
      </c>
      <c r="E292" s="169">
        <v>4215</v>
      </c>
    </row>
    <row r="293" spans="1:5" x14ac:dyDescent="0.25">
      <c r="A293" s="173">
        <v>2019</v>
      </c>
      <c r="B293" s="168" t="s">
        <v>314</v>
      </c>
      <c r="C293" s="172" t="s">
        <v>314</v>
      </c>
      <c r="D293" s="168" t="s">
        <v>1427</v>
      </c>
      <c r="E293" s="169">
        <v>3869</v>
      </c>
    </row>
    <row r="294" spans="1:5" x14ac:dyDescent="0.25">
      <c r="A294" s="173">
        <v>2019</v>
      </c>
      <c r="B294" s="168" t="s">
        <v>315</v>
      </c>
      <c r="C294" s="172" t="s">
        <v>315</v>
      </c>
      <c r="D294" s="168" t="s">
        <v>1428</v>
      </c>
      <c r="E294" s="169">
        <v>25433</v>
      </c>
    </row>
    <row r="295" spans="1:5" x14ac:dyDescent="0.25">
      <c r="A295" s="173">
        <v>2019</v>
      </c>
      <c r="B295" s="168" t="s">
        <v>317</v>
      </c>
      <c r="C295" s="172" t="s">
        <v>317</v>
      </c>
      <c r="D295" s="168" t="s">
        <v>1429</v>
      </c>
      <c r="E295" s="169">
        <v>1663</v>
      </c>
    </row>
    <row r="296" spans="1:5" x14ac:dyDescent="0.25">
      <c r="A296" s="173">
        <v>2019</v>
      </c>
      <c r="B296" s="168" t="s">
        <v>318</v>
      </c>
      <c r="C296" s="172" t="s">
        <v>318</v>
      </c>
      <c r="D296" s="168" t="s">
        <v>1430</v>
      </c>
      <c r="E296" s="169">
        <v>2044</v>
      </c>
    </row>
    <row r="297" spans="1:5" x14ac:dyDescent="0.25">
      <c r="A297" s="173">
        <v>2019</v>
      </c>
      <c r="B297" s="168" t="s">
        <v>319</v>
      </c>
      <c r="C297" s="172" t="s">
        <v>319</v>
      </c>
      <c r="D297" s="168" t="s">
        <v>1431</v>
      </c>
      <c r="E297" s="169">
        <v>1526</v>
      </c>
    </row>
    <row r="298" spans="1:5" x14ac:dyDescent="0.25">
      <c r="A298" s="173">
        <v>2019</v>
      </c>
      <c r="B298" s="168" t="s">
        <v>320</v>
      </c>
      <c r="C298" s="172" t="s">
        <v>320</v>
      </c>
      <c r="D298" s="168" t="s">
        <v>1432</v>
      </c>
      <c r="E298" s="169">
        <v>11948</v>
      </c>
    </row>
    <row r="299" spans="1:5" x14ac:dyDescent="0.25">
      <c r="A299" s="173">
        <v>2019</v>
      </c>
      <c r="B299" s="168" t="s">
        <v>321</v>
      </c>
      <c r="C299" s="172" t="s">
        <v>321</v>
      </c>
      <c r="D299" s="168" t="s">
        <v>1433</v>
      </c>
      <c r="E299" s="169">
        <v>2698</v>
      </c>
    </row>
    <row r="300" spans="1:5" x14ac:dyDescent="0.25">
      <c r="A300" s="173">
        <v>2019</v>
      </c>
      <c r="B300" s="168" t="s">
        <v>323</v>
      </c>
      <c r="C300" s="172" t="s">
        <v>323</v>
      </c>
      <c r="D300" s="168" t="s">
        <v>1434</v>
      </c>
      <c r="E300" s="169">
        <v>5243</v>
      </c>
    </row>
    <row r="301" spans="1:5" x14ac:dyDescent="0.25">
      <c r="A301" s="173">
        <v>2019</v>
      </c>
      <c r="B301" s="168" t="s">
        <v>324</v>
      </c>
      <c r="C301" s="172" t="s">
        <v>324</v>
      </c>
      <c r="D301" s="168" t="s">
        <v>1435</v>
      </c>
      <c r="E301" s="169">
        <v>5858</v>
      </c>
    </row>
    <row r="302" spans="1:5" x14ac:dyDescent="0.25">
      <c r="A302" s="173">
        <v>2019</v>
      </c>
      <c r="B302" s="168" t="s">
        <v>325</v>
      </c>
      <c r="C302" s="172" t="s">
        <v>325</v>
      </c>
      <c r="D302" s="168" t="s">
        <v>1436</v>
      </c>
      <c r="E302" s="169">
        <v>7640</v>
      </c>
    </row>
    <row r="303" spans="1:5" x14ac:dyDescent="0.25">
      <c r="A303" s="173">
        <v>2019</v>
      </c>
      <c r="B303" s="168" t="s">
        <v>326</v>
      </c>
      <c r="C303" s="172" t="s">
        <v>326</v>
      </c>
      <c r="D303" s="168" t="s">
        <v>1437</v>
      </c>
      <c r="E303" s="169">
        <v>0</v>
      </c>
    </row>
    <row r="304" spans="1:5" x14ac:dyDescent="0.25">
      <c r="A304" s="173">
        <v>2019</v>
      </c>
      <c r="B304" s="168" t="s">
        <v>327</v>
      </c>
      <c r="C304" s="172" t="s">
        <v>327</v>
      </c>
      <c r="D304" s="168" t="s">
        <v>1438</v>
      </c>
      <c r="E304" s="169">
        <v>92730</v>
      </c>
    </row>
    <row r="305" spans="1:5" x14ac:dyDescent="0.25">
      <c r="A305" s="173">
        <v>2019</v>
      </c>
      <c r="B305" s="168" t="s">
        <v>328</v>
      </c>
      <c r="C305" s="172" t="s">
        <v>328</v>
      </c>
      <c r="D305" s="168" t="s">
        <v>1439</v>
      </c>
      <c r="E305" s="169">
        <v>8489</v>
      </c>
    </row>
    <row r="306" spans="1:5" x14ac:dyDescent="0.25">
      <c r="A306" s="173">
        <v>2019</v>
      </c>
      <c r="B306" s="168" t="s">
        <v>329</v>
      </c>
      <c r="C306" s="172" t="s">
        <v>329</v>
      </c>
      <c r="D306" s="168" t="s">
        <v>1440</v>
      </c>
      <c r="E306" s="169">
        <v>1708</v>
      </c>
    </row>
    <row r="307" spans="1:5" x14ac:dyDescent="0.25">
      <c r="A307" s="173">
        <v>2019</v>
      </c>
      <c r="B307" s="168" t="s">
        <v>330</v>
      </c>
      <c r="C307" s="172" t="s">
        <v>330</v>
      </c>
      <c r="D307" s="168" t="s">
        <v>1441</v>
      </c>
      <c r="E307" s="169">
        <v>8066</v>
      </c>
    </row>
    <row r="308" spans="1:5" x14ac:dyDescent="0.25">
      <c r="A308" s="173">
        <v>2019</v>
      </c>
      <c r="B308" s="168" t="s">
        <v>331</v>
      </c>
      <c r="C308" s="172" t="s">
        <v>331</v>
      </c>
      <c r="D308" s="168" t="s">
        <v>1442</v>
      </c>
      <c r="E308" s="169">
        <v>0</v>
      </c>
    </row>
    <row r="309" spans="1:5" x14ac:dyDescent="0.25">
      <c r="A309" s="173">
        <v>2019</v>
      </c>
      <c r="B309" s="168" t="s">
        <v>332</v>
      </c>
      <c r="C309" s="172" t="s">
        <v>332</v>
      </c>
      <c r="D309" s="168" t="s">
        <v>1443</v>
      </c>
      <c r="E309" s="169">
        <v>5468</v>
      </c>
    </row>
    <row r="310" spans="1:5" x14ac:dyDescent="0.25">
      <c r="A310" s="173">
        <v>2019</v>
      </c>
      <c r="B310" s="168" t="s">
        <v>333</v>
      </c>
      <c r="C310" s="172" t="s">
        <v>333</v>
      </c>
      <c r="D310" s="168" t="s">
        <v>1444</v>
      </c>
      <c r="E310" s="169">
        <v>4365</v>
      </c>
    </row>
    <row r="311" spans="1:5" x14ac:dyDescent="0.25">
      <c r="A311" s="173">
        <v>2019</v>
      </c>
      <c r="B311" s="168" t="s">
        <v>334</v>
      </c>
      <c r="C311" s="172" t="s">
        <v>334</v>
      </c>
      <c r="D311" s="168" t="s">
        <v>1445</v>
      </c>
      <c r="E311" s="169">
        <v>2542</v>
      </c>
    </row>
    <row r="312" spans="1:5" x14ac:dyDescent="0.25">
      <c r="A312" s="173">
        <v>2019</v>
      </c>
      <c r="B312" s="168" t="s">
        <v>303</v>
      </c>
      <c r="C312" s="172" t="s">
        <v>303</v>
      </c>
      <c r="D312" s="168" t="s">
        <v>1446</v>
      </c>
      <c r="E312" s="169">
        <v>5340</v>
      </c>
    </row>
    <row r="313" spans="1:5" x14ac:dyDescent="0.25">
      <c r="A313" s="173">
        <v>2019</v>
      </c>
      <c r="B313" s="168" t="s">
        <v>335</v>
      </c>
      <c r="C313" s="172" t="s">
        <v>335</v>
      </c>
      <c r="D313" s="168" t="s">
        <v>1447</v>
      </c>
      <c r="E313" s="169">
        <v>4021</v>
      </c>
    </row>
    <row r="314" spans="1:5" x14ac:dyDescent="0.25">
      <c r="A314" s="173">
        <v>2019</v>
      </c>
      <c r="B314" s="168" t="s">
        <v>336</v>
      </c>
      <c r="C314" s="172" t="s">
        <v>336</v>
      </c>
      <c r="D314" s="168" t="s">
        <v>1448</v>
      </c>
      <c r="E314" s="169">
        <v>66246</v>
      </c>
    </row>
    <row r="315" spans="1:5" x14ac:dyDescent="0.25">
      <c r="A315" s="173">
        <v>2019</v>
      </c>
      <c r="B315" s="168" t="s">
        <v>278</v>
      </c>
      <c r="C315" s="172" t="s">
        <v>278</v>
      </c>
      <c r="D315" s="168" t="s">
        <v>1449</v>
      </c>
      <c r="E315" s="169">
        <v>4748</v>
      </c>
    </row>
    <row r="316" spans="1:5" x14ac:dyDescent="0.25">
      <c r="A316" s="173">
        <v>2019</v>
      </c>
      <c r="B316" s="168" t="s">
        <v>58</v>
      </c>
      <c r="C316" s="172" t="s">
        <v>58</v>
      </c>
      <c r="D316" s="168" t="s">
        <v>1450</v>
      </c>
      <c r="E316" s="169">
        <v>1429</v>
      </c>
    </row>
    <row r="317" spans="1:5" x14ac:dyDescent="0.25">
      <c r="A317" s="173">
        <v>2019</v>
      </c>
      <c r="B317" s="168" t="s">
        <v>338</v>
      </c>
      <c r="C317" s="172" t="s">
        <v>338</v>
      </c>
      <c r="D317" s="168" t="s">
        <v>1451</v>
      </c>
      <c r="E317" s="169">
        <v>0</v>
      </c>
    </row>
    <row r="318" spans="1:5" x14ac:dyDescent="0.25">
      <c r="A318" s="173">
        <v>2019</v>
      </c>
      <c r="B318" s="168" t="s">
        <v>339</v>
      </c>
      <c r="C318" s="172" t="s">
        <v>339</v>
      </c>
      <c r="D318" s="168" t="s">
        <v>1452</v>
      </c>
      <c r="E318" s="169">
        <v>4284</v>
      </c>
    </row>
    <row r="319" spans="1:5" x14ac:dyDescent="0.25">
      <c r="A319" s="173">
        <v>2019</v>
      </c>
      <c r="B319" s="168" t="s">
        <v>340</v>
      </c>
      <c r="C319" s="172" t="s">
        <v>340</v>
      </c>
      <c r="D319" s="168" t="s">
        <v>1453</v>
      </c>
      <c r="E319" s="169">
        <v>5224</v>
      </c>
    </row>
    <row r="320" spans="1:5" x14ac:dyDescent="0.25">
      <c r="A320" s="173">
        <v>2019</v>
      </c>
      <c r="B320" s="168" t="s">
        <v>341</v>
      </c>
      <c r="C320" s="172" t="s">
        <v>341</v>
      </c>
      <c r="D320" s="168" t="s">
        <v>1454</v>
      </c>
      <c r="E320" s="169">
        <v>2850</v>
      </c>
    </row>
    <row r="321" spans="1:5" x14ac:dyDescent="0.25">
      <c r="A321" s="173">
        <v>2019</v>
      </c>
      <c r="B321" s="168" t="s">
        <v>342</v>
      </c>
      <c r="C321" s="172" t="s">
        <v>342</v>
      </c>
      <c r="D321" s="168" t="s">
        <v>1455</v>
      </c>
      <c r="E321" s="169">
        <v>0</v>
      </c>
    </row>
    <row r="322" spans="1:5" x14ac:dyDescent="0.25">
      <c r="A322" s="173">
        <v>2019</v>
      </c>
      <c r="B322" s="168" t="s">
        <v>343</v>
      </c>
      <c r="C322" s="172" t="s">
        <v>343</v>
      </c>
      <c r="D322" s="168" t="s">
        <v>1456</v>
      </c>
      <c r="E322" s="169">
        <v>5277</v>
      </c>
    </row>
    <row r="323" spans="1:5" x14ac:dyDescent="0.25">
      <c r="A323" s="173">
        <v>2019</v>
      </c>
      <c r="B323" s="168" t="s">
        <v>337</v>
      </c>
      <c r="C323" s="172" t="s">
        <v>337</v>
      </c>
      <c r="D323" s="168" t="s">
        <v>1457</v>
      </c>
      <c r="E323" s="169">
        <v>12282</v>
      </c>
    </row>
    <row r="324" spans="1:5" x14ac:dyDescent="0.25">
      <c r="A324" s="173">
        <v>2019</v>
      </c>
      <c r="B324" s="168" t="s">
        <v>344</v>
      </c>
      <c r="C324" s="172" t="s">
        <v>344</v>
      </c>
      <c r="D324" s="168" t="s">
        <v>1458</v>
      </c>
      <c r="E324" s="169">
        <v>150</v>
      </c>
    </row>
    <row r="325" spans="1:5" x14ac:dyDescent="0.25">
      <c r="A325" s="173">
        <v>2019</v>
      </c>
      <c r="B325" s="168" t="s">
        <v>345</v>
      </c>
      <c r="C325" s="172" t="s">
        <v>345</v>
      </c>
      <c r="D325" s="168" t="s">
        <v>1459</v>
      </c>
      <c r="E325" s="169">
        <v>534</v>
      </c>
    </row>
    <row r="326" spans="1:5" x14ac:dyDescent="0.25">
      <c r="A326" s="173">
        <v>2019</v>
      </c>
      <c r="B326" s="168" t="s">
        <v>346</v>
      </c>
      <c r="C326" s="172" t="s">
        <v>346</v>
      </c>
      <c r="D326" s="168" t="s">
        <v>1460</v>
      </c>
      <c r="E326" s="169">
        <v>5134</v>
      </c>
    </row>
    <row r="327" spans="1:5" x14ac:dyDescent="0.25">
      <c r="A327" s="173">
        <v>2019</v>
      </c>
      <c r="B327" s="168" t="s">
        <v>347</v>
      </c>
      <c r="C327" s="172" t="s">
        <v>347</v>
      </c>
      <c r="D327" s="168" t="s">
        <v>1461</v>
      </c>
      <c r="E327" s="169">
        <v>2571</v>
      </c>
    </row>
    <row r="328" spans="1:5" x14ac:dyDescent="0.25">
      <c r="A328" s="173">
        <v>2019</v>
      </c>
      <c r="B328" s="168" t="s">
        <v>348</v>
      </c>
      <c r="C328" s="172" t="s">
        <v>348</v>
      </c>
      <c r="D328" s="168" t="s">
        <v>1462</v>
      </c>
      <c r="E328" s="169">
        <v>236</v>
      </c>
    </row>
    <row r="329" spans="1:5" x14ac:dyDescent="0.25">
      <c r="A329" s="173">
        <v>2019</v>
      </c>
      <c r="B329" s="168" t="s">
        <v>349</v>
      </c>
      <c r="C329" s="172" t="s">
        <v>349</v>
      </c>
      <c r="D329" s="168" t="s">
        <v>1463</v>
      </c>
      <c r="E329" s="169">
        <v>10101</v>
      </c>
    </row>
    <row r="330" spans="1:5" x14ac:dyDescent="0.25">
      <c r="A330" s="173">
        <v>2019</v>
      </c>
      <c r="B330" s="168" t="s">
        <v>350</v>
      </c>
      <c r="C330" s="172" t="s">
        <v>350</v>
      </c>
      <c r="D330" s="168" t="s">
        <v>1464</v>
      </c>
      <c r="E330" s="169">
        <v>636</v>
      </c>
    </row>
    <row r="331" spans="1:5" x14ac:dyDescent="0.25">
      <c r="A331" s="173">
        <v>2019</v>
      </c>
      <c r="B331" s="168" t="s">
        <v>351</v>
      </c>
      <c r="C331" s="172" t="s">
        <v>351</v>
      </c>
      <c r="D331" s="168" t="s">
        <v>1465</v>
      </c>
      <c r="E331" s="169">
        <v>2221</v>
      </c>
    </row>
    <row r="332" spans="1:5" x14ac:dyDescent="0.25">
      <c r="A332" s="173">
        <v>2019</v>
      </c>
      <c r="B332" s="168" t="s">
        <v>352</v>
      </c>
      <c r="C332" s="172" t="s">
        <v>352</v>
      </c>
      <c r="D332" s="168" t="s">
        <v>1466</v>
      </c>
      <c r="E332" s="169">
        <v>10735</v>
      </c>
    </row>
    <row r="333" spans="1:5" ht="15.75" thickBot="1" x14ac:dyDescent="0.3">
      <c r="A333" s="174"/>
      <c r="B333" s="178" t="s">
        <v>798</v>
      </c>
      <c r="D333" s="179" t="s">
        <v>797</v>
      </c>
      <c r="E333" s="127">
        <f>SUM(E3:E332)</f>
        <v>2172994</v>
      </c>
    </row>
    <row r="334" spans="1:5" ht="15.75" thickTop="1" x14ac:dyDescent="0.25">
      <c r="A334" s="174"/>
    </row>
    <row r="335" spans="1:5" x14ac:dyDescent="0.25">
      <c r="A335" s="174"/>
    </row>
    <row r="336" spans="1:5" x14ac:dyDescent="0.25">
      <c r="A336" s="174"/>
    </row>
    <row r="337" spans="1:1" x14ac:dyDescent="0.25">
      <c r="A337" s="174"/>
    </row>
    <row r="338" spans="1:1" x14ac:dyDescent="0.25">
      <c r="A338" s="174"/>
    </row>
    <row r="339" spans="1:1" x14ac:dyDescent="0.25">
      <c r="A339" s="174"/>
    </row>
    <row r="340" spans="1:1" x14ac:dyDescent="0.25">
      <c r="A340" s="174"/>
    </row>
    <row r="341" spans="1:1" x14ac:dyDescent="0.25">
      <c r="A341" s="174"/>
    </row>
    <row r="342" spans="1:1" x14ac:dyDescent="0.25">
      <c r="A342" s="174"/>
    </row>
    <row r="343" spans="1:1" x14ac:dyDescent="0.25">
      <c r="A343" s="174"/>
    </row>
    <row r="344" spans="1:1" x14ac:dyDescent="0.25">
      <c r="A344" s="174"/>
    </row>
    <row r="345" spans="1:1" x14ac:dyDescent="0.25">
      <c r="A345" s="174"/>
    </row>
    <row r="346" spans="1:1" x14ac:dyDescent="0.25">
      <c r="A346" s="174"/>
    </row>
    <row r="347" spans="1:1" x14ac:dyDescent="0.25">
      <c r="A347" s="174"/>
    </row>
    <row r="348" spans="1:1" x14ac:dyDescent="0.25">
      <c r="A348" s="174"/>
    </row>
    <row r="349" spans="1:1" x14ac:dyDescent="0.25">
      <c r="A349" s="174"/>
    </row>
    <row r="350" spans="1:1" x14ac:dyDescent="0.25">
      <c r="A350" s="174"/>
    </row>
    <row r="351" spans="1:1" x14ac:dyDescent="0.25">
      <c r="A351" s="174"/>
    </row>
    <row r="352" spans="1:1" x14ac:dyDescent="0.25">
      <c r="A352" s="174"/>
    </row>
    <row r="353" spans="1:1" x14ac:dyDescent="0.25">
      <c r="A353" s="174"/>
    </row>
    <row r="354" spans="1:1" x14ac:dyDescent="0.25">
      <c r="A354" s="174"/>
    </row>
    <row r="355" spans="1:1" x14ac:dyDescent="0.25">
      <c r="A355" s="174"/>
    </row>
    <row r="356" spans="1:1" x14ac:dyDescent="0.25">
      <c r="A356" s="174"/>
    </row>
    <row r="357" spans="1:1" x14ac:dyDescent="0.25">
      <c r="A357" s="174"/>
    </row>
    <row r="358" spans="1:1" x14ac:dyDescent="0.25">
      <c r="A358" s="174"/>
    </row>
    <row r="359" spans="1:1" x14ac:dyDescent="0.25">
      <c r="A359" s="174"/>
    </row>
    <row r="360" spans="1:1" x14ac:dyDescent="0.25">
      <c r="A360" s="174"/>
    </row>
    <row r="361" spans="1:1" x14ac:dyDescent="0.25">
      <c r="A361" s="174"/>
    </row>
    <row r="362" spans="1:1" x14ac:dyDescent="0.25">
      <c r="A362" s="174"/>
    </row>
    <row r="363" spans="1:1" x14ac:dyDescent="0.25">
      <c r="A363" s="174"/>
    </row>
    <row r="364" spans="1:1" x14ac:dyDescent="0.25">
      <c r="A364" s="174"/>
    </row>
    <row r="365" spans="1:1" x14ac:dyDescent="0.25">
      <c r="A365" s="174"/>
    </row>
    <row r="366" spans="1:1" x14ac:dyDescent="0.25">
      <c r="A366" s="174"/>
    </row>
    <row r="367" spans="1:1" x14ac:dyDescent="0.25">
      <c r="A367" s="174"/>
    </row>
    <row r="368" spans="1:1" x14ac:dyDescent="0.25">
      <c r="A368" s="174"/>
    </row>
    <row r="369" spans="1:1" x14ac:dyDescent="0.25">
      <c r="A369" s="174"/>
    </row>
    <row r="370" spans="1:1" x14ac:dyDescent="0.25">
      <c r="A370" s="174"/>
    </row>
    <row r="371" spans="1:1" x14ac:dyDescent="0.25">
      <c r="A371" s="174"/>
    </row>
    <row r="372" spans="1:1" x14ac:dyDescent="0.25">
      <c r="A372" s="174"/>
    </row>
    <row r="373" spans="1:1" x14ac:dyDescent="0.25">
      <c r="A373" s="174"/>
    </row>
    <row r="374" spans="1:1" x14ac:dyDescent="0.25">
      <c r="A374" s="174"/>
    </row>
    <row r="375" spans="1:1" x14ac:dyDescent="0.25">
      <c r="A375" s="174"/>
    </row>
    <row r="376" spans="1:1" x14ac:dyDescent="0.25">
      <c r="A376" s="174"/>
    </row>
    <row r="377" spans="1:1" x14ac:dyDescent="0.25">
      <c r="A377" s="174"/>
    </row>
    <row r="378" spans="1:1" x14ac:dyDescent="0.25">
      <c r="A378" s="174"/>
    </row>
    <row r="379" spans="1:1" x14ac:dyDescent="0.25">
      <c r="A379" s="174"/>
    </row>
    <row r="380" spans="1:1" x14ac:dyDescent="0.25">
      <c r="A380" s="174"/>
    </row>
    <row r="381" spans="1:1" x14ac:dyDescent="0.25">
      <c r="A381" s="174"/>
    </row>
    <row r="382" spans="1:1" x14ac:dyDescent="0.25">
      <c r="A382" s="174"/>
    </row>
    <row r="383" spans="1:1" x14ac:dyDescent="0.25">
      <c r="A383" s="174"/>
    </row>
    <row r="384" spans="1:1" x14ac:dyDescent="0.25">
      <c r="A384" s="174"/>
    </row>
    <row r="385" spans="1:1" x14ac:dyDescent="0.25">
      <c r="A385" s="174"/>
    </row>
    <row r="386" spans="1:1" x14ac:dyDescent="0.25">
      <c r="A386" s="174"/>
    </row>
    <row r="387" spans="1:1" x14ac:dyDescent="0.25">
      <c r="A387" s="174"/>
    </row>
    <row r="388" spans="1:1" x14ac:dyDescent="0.25">
      <c r="A388" s="174"/>
    </row>
    <row r="389" spans="1:1" x14ac:dyDescent="0.25">
      <c r="A389" s="174"/>
    </row>
    <row r="390" spans="1:1" x14ac:dyDescent="0.25">
      <c r="A390" s="174"/>
    </row>
    <row r="391" spans="1:1" x14ac:dyDescent="0.25">
      <c r="A391" s="174"/>
    </row>
    <row r="392" spans="1:1" x14ac:dyDescent="0.25">
      <c r="A392" s="174"/>
    </row>
    <row r="393" spans="1:1" x14ac:dyDescent="0.25">
      <c r="A393" s="174"/>
    </row>
    <row r="394" spans="1:1" x14ac:dyDescent="0.25">
      <c r="A394" s="174"/>
    </row>
    <row r="395" spans="1:1" x14ac:dyDescent="0.25">
      <c r="A395" s="174"/>
    </row>
    <row r="396" spans="1:1" x14ac:dyDescent="0.25">
      <c r="A396" s="174"/>
    </row>
    <row r="397" spans="1:1" x14ac:dyDescent="0.25">
      <c r="A397" s="174"/>
    </row>
    <row r="398" spans="1:1" x14ac:dyDescent="0.25">
      <c r="A398" s="174"/>
    </row>
    <row r="399" spans="1:1" x14ac:dyDescent="0.25">
      <c r="A399" s="174"/>
    </row>
    <row r="400" spans="1:1" x14ac:dyDescent="0.25">
      <c r="A400" s="174"/>
    </row>
    <row r="401" spans="1:1" x14ac:dyDescent="0.25">
      <c r="A401" s="174"/>
    </row>
    <row r="402" spans="1:1" x14ac:dyDescent="0.25">
      <c r="A402" s="174"/>
    </row>
    <row r="403" spans="1:1" x14ac:dyDescent="0.25">
      <c r="A403" s="174"/>
    </row>
    <row r="404" spans="1:1" x14ac:dyDescent="0.25">
      <c r="A404" s="174"/>
    </row>
    <row r="405" spans="1:1" x14ac:dyDescent="0.25">
      <c r="A405" s="174"/>
    </row>
    <row r="406" spans="1:1" x14ac:dyDescent="0.25">
      <c r="A406" s="17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PaymentSummary</vt:lpstr>
      <vt:lpstr>SurtaxPayment</vt:lpstr>
      <vt:lpstr>Data</vt:lpstr>
      <vt:lpstr>Notes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</cp:lastModifiedBy>
  <cp:lastPrinted>2019-06-26T16:43:35Z</cp:lastPrinted>
  <dcterms:created xsi:type="dcterms:W3CDTF">2011-08-29T13:44:47Z</dcterms:created>
  <dcterms:modified xsi:type="dcterms:W3CDTF">2019-06-26T16:43:38Z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